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3585" tabRatio="590" activeTab="3"/>
  </bookViews>
  <sheets>
    <sheet name="DISTRIBUTION TYPE" sheetId="1" r:id="rId1"/>
    <sheet name="AF Classi E-E2 F-F2 G-G2" sheetId="2" r:id="rId2"/>
    <sheet name="AF Classi M-M2" sheetId="3" r:id="rId3"/>
    <sheet name="ASI-Amundi S.F." sheetId="4" r:id="rId4"/>
    <sheet name="Amundi Fund Solutions" sheetId="5" r:id="rId5"/>
    <sheet name="First Eagle Amundi" sheetId="6" r:id="rId6"/>
    <sheet name="CPR Invest" sheetId="7" r:id="rId7"/>
  </sheets>
  <externalReferences>
    <externalReference r:id="rId10"/>
    <externalReference r:id="rId11"/>
  </externalReferences>
  <definedNames>
    <definedName name="_xlnm._FilterDatabase" localSheetId="1" hidden="1">'AF Classi E-E2 F-F2 G-G2'!$A$5:$IR$1272</definedName>
    <definedName name="_xlnm._FilterDatabase" localSheetId="2" hidden="1">'AF Classi M-M2'!$A$5:$IU$227</definedName>
    <definedName name="_xlnm._FilterDatabase" localSheetId="4" hidden="1">'Amundi Fund Solutions'!$A$5:$K$5</definedName>
    <definedName name="_xlnm._FilterDatabase" localSheetId="3" hidden="1">'ASI-Amundi S.F.'!$A$5:$K$208</definedName>
    <definedName name="_xlnm._FilterDatabase" localSheetId="5" hidden="1">'First Eagle Amundi'!$A$5:$M$61</definedName>
    <definedName name="_xlnm.Print_Area" localSheetId="1">'AF Classi E-E2 F-F2 G-G2'!$A$5:$N$688</definedName>
    <definedName name="_xlnm.Print_Area" localSheetId="2">'AF Classi M-M2'!$B$5:$N$225</definedName>
    <definedName name="_xlnm.Print_Area" localSheetId="4">'Amundi Fund Solutions'!$A$5:$K$8</definedName>
    <definedName name="_xlnm.Print_Area" localSheetId="6">'CPR Invest'!$A$5:$I$9</definedName>
    <definedName name="_xlnm.Print_Area" localSheetId="5">'First Eagle Amundi'!$A$5:$M$12</definedName>
  </definedNames>
  <calcPr fullCalcOnLoad="1"/>
</workbook>
</file>

<file path=xl/comments2.xml><?xml version="1.0" encoding="utf-8"?>
<comments xmlns="http://schemas.openxmlformats.org/spreadsheetml/2006/main">
  <authors>
    <author>fbrrsbr</author>
  </authors>
  <commentList>
    <comment ref="F5" authorId="0">
      <text>
        <r>
          <rPr>
            <b/>
            <sz val="9"/>
            <rFont val="Tahoma"/>
            <family val="2"/>
          </rPr>
          <t>fbrrsbr:</t>
        </r>
        <r>
          <rPr>
            <sz val="9"/>
            <rFont val="Tahoma"/>
            <family val="2"/>
          </rPr>
          <t xml:space="preserve">
colonna da prendere in considerazione per aggiornamento white list</t>
        </r>
      </text>
    </comment>
  </commentList>
</comments>
</file>

<file path=xl/comments3.xml><?xml version="1.0" encoding="utf-8"?>
<comments xmlns="http://schemas.openxmlformats.org/spreadsheetml/2006/main">
  <authors>
    <author>fbrrsbr</author>
  </authors>
  <commentList>
    <comment ref="F5" authorId="0">
      <text>
        <r>
          <rPr>
            <b/>
            <sz val="9"/>
            <rFont val="Tahoma"/>
            <family val="2"/>
          </rPr>
          <t>fbrrsbr:</t>
        </r>
        <r>
          <rPr>
            <sz val="9"/>
            <rFont val="Tahoma"/>
            <family val="2"/>
          </rPr>
          <t xml:space="preserve">
colonna da prendere in considerazione per aggiornamento white list</t>
        </r>
      </text>
    </comment>
  </commentList>
</comments>
</file>

<file path=xl/comments4.xml><?xml version="1.0" encoding="utf-8"?>
<comments xmlns="http://schemas.openxmlformats.org/spreadsheetml/2006/main">
  <authors>
    <author>fbrrsbr</author>
  </authors>
  <commentList>
    <comment ref="G5" authorId="0">
      <text>
        <r>
          <rPr>
            <b/>
            <sz val="9"/>
            <rFont val="Tahoma"/>
            <family val="2"/>
          </rPr>
          <t>fbrrsbr:</t>
        </r>
        <r>
          <rPr>
            <sz val="9"/>
            <rFont val="Tahoma"/>
            <family val="2"/>
          </rPr>
          <t xml:space="preserve">
colonna da prendere in considerazione per aggiornamento white list</t>
        </r>
      </text>
    </comment>
  </commentList>
</comments>
</file>

<file path=xl/comments5.xml><?xml version="1.0" encoding="utf-8"?>
<comments xmlns="http://schemas.openxmlformats.org/spreadsheetml/2006/main">
  <authors>
    <author>fbrrsbr</author>
  </authors>
  <commentList>
    <comment ref="G5" authorId="0">
      <text>
        <r>
          <rPr>
            <b/>
            <sz val="9"/>
            <rFont val="Tahoma"/>
            <family val="2"/>
          </rPr>
          <t>fbrrsbr:</t>
        </r>
        <r>
          <rPr>
            <sz val="9"/>
            <rFont val="Tahoma"/>
            <family val="2"/>
          </rPr>
          <t xml:space="preserve">
colonna da prendere in considerazione per aggiornamento white list</t>
        </r>
      </text>
    </comment>
  </commentList>
</comments>
</file>

<file path=xl/comments6.xml><?xml version="1.0" encoding="utf-8"?>
<comments xmlns="http://schemas.openxmlformats.org/spreadsheetml/2006/main">
  <authors>
    <author>fbrrsbr</author>
  </authors>
  <commentList>
    <comment ref="E5" authorId="0">
      <text>
        <r>
          <rPr>
            <b/>
            <sz val="9"/>
            <rFont val="Tahoma"/>
            <family val="2"/>
          </rPr>
          <t>fbrrsbr:</t>
        </r>
        <r>
          <rPr>
            <sz val="9"/>
            <rFont val="Tahoma"/>
            <family val="2"/>
          </rPr>
          <t xml:space="preserve">
colonna da prendere in considerazione per aggiornamento white list</t>
        </r>
      </text>
    </comment>
  </commentList>
</comments>
</file>

<file path=xl/comments7.xml><?xml version="1.0" encoding="utf-8"?>
<comments xmlns="http://schemas.openxmlformats.org/spreadsheetml/2006/main">
  <authors>
    <author>fbrrsbr</author>
  </authors>
  <commentList>
    <comment ref="E5" authorId="0">
      <text>
        <r>
          <rPr>
            <b/>
            <sz val="9"/>
            <rFont val="Tahoma"/>
            <family val="2"/>
          </rPr>
          <t>fbrrsbr:</t>
        </r>
        <r>
          <rPr>
            <sz val="9"/>
            <rFont val="Tahoma"/>
            <family val="2"/>
          </rPr>
          <t xml:space="preserve">
colonna da prendere in considerazione per aggiornamento white list</t>
        </r>
      </text>
    </comment>
  </commentList>
</comments>
</file>

<file path=xl/sharedStrings.xml><?xml version="1.0" encoding="utf-8"?>
<sst xmlns="http://schemas.openxmlformats.org/spreadsheetml/2006/main" count="7686" uniqueCount="724">
  <si>
    <t>ISIN</t>
  </si>
  <si>
    <t>COMPARTO</t>
  </si>
  <si>
    <t>Periodicità cedola</t>
  </si>
  <si>
    <t>Regola calcolo cedola</t>
  </si>
  <si>
    <t>Annuale</t>
  </si>
  <si>
    <t>aliquota * Nav di partenza</t>
  </si>
  <si>
    <t>Risultato della formula</t>
  </si>
  <si>
    <t>Trimestrale</t>
  </si>
  <si>
    <t>Target Annuo diviso 4 moltiplicato per NAV della Record Date</t>
  </si>
  <si>
    <t>LU0744823922</t>
  </si>
  <si>
    <t>LU0744835850</t>
  </si>
  <si>
    <t>LU0744824730</t>
  </si>
  <si>
    <t>LU0744824490</t>
  </si>
  <si>
    <t>LU0812852092</t>
  </si>
  <si>
    <t>LU0812852415</t>
  </si>
  <si>
    <t>LU0812852258</t>
  </si>
  <si>
    <t>LU1104222887</t>
  </si>
  <si>
    <t>LU1199022077</t>
  </si>
  <si>
    <t>Distributing Quarterly</t>
  </si>
  <si>
    <t>LU1128907349</t>
  </si>
  <si>
    <t>LU1128907422</t>
  </si>
  <si>
    <t>LU1200750633</t>
  </si>
  <si>
    <t>LU1200750716</t>
  </si>
  <si>
    <t>LU1238909144</t>
  </si>
  <si>
    <t>LU1238910076</t>
  </si>
  <si>
    <t>LU1278827628</t>
  </si>
  <si>
    <t>LU1278827974</t>
  </si>
  <si>
    <t>LU1533943699</t>
  </si>
  <si>
    <t>LU1317245519</t>
  </si>
  <si>
    <t>LU1317248299</t>
  </si>
  <si>
    <t>LU1365518411</t>
  </si>
  <si>
    <t>LU1365518502</t>
  </si>
  <si>
    <t>LU1410363607</t>
  </si>
  <si>
    <t>LU1410363862</t>
  </si>
  <si>
    <t>LU1477593559</t>
  </si>
  <si>
    <t>LU1477595091</t>
  </si>
  <si>
    <t>LU1410362625</t>
  </si>
  <si>
    <t>LU1706857098</t>
  </si>
  <si>
    <t>LU1706857171</t>
  </si>
  <si>
    <t>LU1706857254</t>
  </si>
  <si>
    <t>LU1720524526</t>
  </si>
  <si>
    <t>LU1515095682</t>
  </si>
  <si>
    <t>LU1515095849</t>
  </si>
  <si>
    <t>LU1571349064</t>
  </si>
  <si>
    <t>LU1560664515</t>
  </si>
  <si>
    <t>LU1560664861</t>
  </si>
  <si>
    <t>LU1617820334</t>
  </si>
  <si>
    <t>LU1617821498</t>
  </si>
  <si>
    <t>LU1655258413</t>
  </si>
  <si>
    <t>LU1655260401</t>
  </si>
  <si>
    <t>LU1467375017</t>
  </si>
  <si>
    <t>ASI - Progetto Cedola 12/2019</t>
  </si>
  <si>
    <t>ASI - Progetto Cedola 09/2020</t>
  </si>
  <si>
    <t>ASI - Progetto Cedola 03/2020</t>
  </si>
  <si>
    <t>ASI - Progetto Cedola 05/2020</t>
  </si>
  <si>
    <t>ASI - Progetto Cedola 06/2020</t>
  </si>
  <si>
    <t>ASI - Progetto Cedola 08/2020</t>
  </si>
  <si>
    <t>ASI - Progetto Cedola 11/2020</t>
  </si>
  <si>
    <t>LU1807523581</t>
  </si>
  <si>
    <t>LU1720525416</t>
  </si>
  <si>
    <t>LU1720525507</t>
  </si>
  <si>
    <t>LU1720525689</t>
  </si>
  <si>
    <t>LU1774629775</t>
  </si>
  <si>
    <t>LU1774629932</t>
  </si>
  <si>
    <t>LU1826338870</t>
  </si>
  <si>
    <t>LU1826339258</t>
  </si>
  <si>
    <t>LU1859552223</t>
  </si>
  <si>
    <t>LU1859552652</t>
  </si>
  <si>
    <t>LU1859552900</t>
  </si>
  <si>
    <t>LU1894108320</t>
  </si>
  <si>
    <t>ASI - Progetto Cedola 12/2020</t>
  </si>
  <si>
    <t>LU1774629858</t>
  </si>
  <si>
    <t>LU1072978809</t>
  </si>
  <si>
    <t>LU0701926916</t>
  </si>
  <si>
    <t>LU1235137624</t>
  </si>
  <si>
    <t>LU1089413675</t>
  </si>
  <si>
    <t>LU1235137384</t>
  </si>
  <si>
    <t>LU1128907695</t>
  </si>
  <si>
    <t>LU1515096656</t>
  </si>
  <si>
    <t>LU1128907935</t>
  </si>
  <si>
    <t>LU1317252721</t>
  </si>
  <si>
    <t>LU1200750807</t>
  </si>
  <si>
    <t>LU1238909573</t>
  </si>
  <si>
    <t>LU1069671995</t>
  </si>
  <si>
    <t>LU1069672373</t>
  </si>
  <si>
    <t>LU1104222374</t>
  </si>
  <si>
    <t>LU1104222531</t>
  </si>
  <si>
    <t>LU0812852332</t>
  </si>
  <si>
    <t>LU0812851953</t>
  </si>
  <si>
    <t>LU0812852175</t>
  </si>
  <si>
    <t>LU1199021939</t>
  </si>
  <si>
    <t>LU1344157547</t>
  </si>
  <si>
    <t>LU0702500801</t>
  </si>
  <si>
    <t>LU0857391311</t>
  </si>
  <si>
    <t>LU0702501015</t>
  </si>
  <si>
    <t>LU0702501288</t>
  </si>
  <si>
    <t>LU0702501106</t>
  </si>
  <si>
    <t>LU0702500983</t>
  </si>
  <si>
    <t>LU0702501445</t>
  </si>
  <si>
    <t>LU1290971594</t>
  </si>
  <si>
    <t>LU1533943343</t>
  </si>
  <si>
    <t>LU0702501361</t>
  </si>
  <si>
    <t>LU1599403570</t>
  </si>
  <si>
    <t>LU0857391741</t>
  </si>
  <si>
    <t>LU0859096066</t>
  </si>
  <si>
    <t>Amundi S.F. - Euro Curve 5-7year</t>
  </si>
  <si>
    <t>LU0857391824</t>
  </si>
  <si>
    <t>LU1718309237</t>
  </si>
  <si>
    <t>LU1313459338</t>
  </si>
  <si>
    <t>LU0916711822</t>
  </si>
  <si>
    <t>LU1852559480</t>
  </si>
  <si>
    <t>LU1852559563</t>
  </si>
  <si>
    <t>LU1891103910</t>
  </si>
  <si>
    <t>LU1852559993</t>
  </si>
  <si>
    <t>LU1891104058</t>
  </si>
  <si>
    <t>LU1951319455</t>
  </si>
  <si>
    <t>LU1915992926</t>
  </si>
  <si>
    <t>LU1915992843</t>
  </si>
  <si>
    <t>ASI - Progetto Cedola 02/2020</t>
  </si>
  <si>
    <t xml:space="preserve">ASI - Obbligazionario Euro 02/2024 </t>
  </si>
  <si>
    <t>LU1852559720</t>
  </si>
  <si>
    <t>LU1718309310</t>
  </si>
  <si>
    <t>LU1863453632</t>
  </si>
  <si>
    <t>LU1863454440</t>
  </si>
  <si>
    <t>LU1863454010</t>
  </si>
  <si>
    <t>LU1965337709</t>
  </si>
  <si>
    <t>LU1965337618</t>
  </si>
  <si>
    <t>LU1965337378</t>
  </si>
  <si>
    <t>LU1965337881</t>
  </si>
  <si>
    <t>% fissa se risultato formula positivo (perf indice dal lancio)</t>
  </si>
  <si>
    <t>LU1965338343</t>
  </si>
  <si>
    <t>LU1965338269</t>
  </si>
  <si>
    <t>LU1882475558</t>
  </si>
  <si>
    <t>LU1883321967</t>
  </si>
  <si>
    <t>LU1883332063</t>
  </si>
  <si>
    <t>LU1883839802</t>
  </si>
  <si>
    <t>LU1883839711</t>
  </si>
  <si>
    <t>LU1894681300</t>
  </si>
  <si>
    <t>LU1882452698</t>
  </si>
  <si>
    <t>LU1882460790</t>
  </si>
  <si>
    <t>LU1882463547</t>
  </si>
  <si>
    <t>LU1882463463</t>
  </si>
  <si>
    <t>LU1882458208</t>
  </si>
  <si>
    <t>LU1882468264</t>
  </si>
  <si>
    <t>LU1882474312</t>
  </si>
  <si>
    <t>LU1882522060</t>
  </si>
  <si>
    <t>LU1883337450</t>
  </si>
  <si>
    <t>LU1882476440</t>
  </si>
  <si>
    <t>LU1883317346</t>
  </si>
  <si>
    <t>LU1883836709</t>
  </si>
  <si>
    <t>LU1883334432</t>
  </si>
  <si>
    <t>LU1883339407</t>
  </si>
  <si>
    <t>LU1883843747</t>
  </si>
  <si>
    <t>LU1883843663</t>
  </si>
  <si>
    <t>LU1883866870</t>
  </si>
  <si>
    <t>LU1883322007</t>
  </si>
  <si>
    <t>LU1883312388</t>
  </si>
  <si>
    <t>LU1883332147</t>
  </si>
  <si>
    <t>LU1883331925</t>
  </si>
  <si>
    <t>LU1882458380</t>
  </si>
  <si>
    <t>LU1882453076</t>
  </si>
  <si>
    <t>LU1882461178</t>
  </si>
  <si>
    <t>LU1882463893</t>
  </si>
  <si>
    <t>LU1883337617</t>
  </si>
  <si>
    <t>LU1882476879</t>
  </si>
  <si>
    <t>LU1883836964</t>
  </si>
  <si>
    <t>LU1883339662</t>
  </si>
  <si>
    <t>LU1883844471</t>
  </si>
  <si>
    <t>LU1883332576</t>
  </si>
  <si>
    <t>LU1883867258</t>
  </si>
  <si>
    <t>LU1883840131</t>
  </si>
  <si>
    <t>LU1894681482</t>
  </si>
  <si>
    <t>LU1883840214</t>
  </si>
  <si>
    <t>LU1883329945</t>
  </si>
  <si>
    <t>LU1894680088</t>
  </si>
  <si>
    <t>LU1894679155</t>
  </si>
  <si>
    <t>LU1894682530</t>
  </si>
  <si>
    <t>LU1883322775</t>
  </si>
  <si>
    <t>LU1883312461</t>
  </si>
  <si>
    <t>LU1706854236</t>
  </si>
  <si>
    <t>AMUNDI S.F. - DIVERSIFIED SHORT-TERM BOND - E - QTD (D)</t>
  </si>
  <si>
    <t>LU1600318759</t>
  </si>
  <si>
    <t>LU1327398381</t>
  </si>
  <si>
    <t>LU1880402174</t>
  </si>
  <si>
    <t>LU0906522494</t>
  </si>
  <si>
    <t>LU0613078343</t>
  </si>
  <si>
    <t>LU0613077709</t>
  </si>
  <si>
    <t>LU1103153091</t>
  </si>
  <si>
    <t>LU0945158151</t>
  </si>
  <si>
    <t>LU0945157427</t>
  </si>
  <si>
    <t>LU1250883417</t>
  </si>
  <si>
    <t>LU1880386112</t>
  </si>
  <si>
    <t>LU0906522734</t>
  </si>
  <si>
    <t>LU0613078186</t>
  </si>
  <si>
    <t>LU0613077295</t>
  </si>
  <si>
    <t>LU1103152879</t>
  </si>
  <si>
    <t>LU0945158078</t>
  </si>
  <si>
    <t>LU0945157344</t>
  </si>
  <si>
    <t>LU1250883334</t>
  </si>
  <si>
    <t>LU1880386468</t>
  </si>
  <si>
    <t>LU1706545289</t>
  </si>
  <si>
    <t>LU1600318833</t>
  </si>
  <si>
    <t>LU1327398209</t>
  </si>
  <si>
    <t>LU1882469239</t>
  </si>
  <si>
    <t>LU1882472969</t>
  </si>
  <si>
    <t>LU1883318070</t>
  </si>
  <si>
    <t>LU1883318153</t>
  </si>
  <si>
    <t>LU1882474742</t>
  </si>
  <si>
    <t>LU1883338185</t>
  </si>
  <si>
    <t>LU1883303122</t>
  </si>
  <si>
    <t>LU1883837855</t>
  </si>
  <si>
    <t>LU1883845445</t>
  </si>
  <si>
    <t>LU1883334945</t>
  </si>
  <si>
    <t>LU1883340082</t>
  </si>
  <si>
    <t>LU1883840487</t>
  </si>
  <si>
    <t>LU1882454801</t>
  </si>
  <si>
    <t>LU1882464867</t>
  </si>
  <si>
    <t>LU1915992769</t>
  </si>
  <si>
    <t>LU1883332907</t>
  </si>
  <si>
    <t>LU1883323310</t>
  </si>
  <si>
    <t>LU0830747878</t>
  </si>
  <si>
    <t>LU1883323401</t>
  </si>
  <si>
    <t>LU0851804954</t>
  </si>
  <si>
    <t>LU1883313436</t>
  </si>
  <si>
    <t>LU0701927054</t>
  </si>
  <si>
    <t>LU1882475715</t>
  </si>
  <si>
    <t>LU1718309401</t>
  </si>
  <si>
    <t>LU1882475632</t>
  </si>
  <si>
    <t>ISIN PRE CONVERGENZA</t>
  </si>
  <si>
    <t>LU0613075919</t>
  </si>
  <si>
    <t>LU0752742543</t>
  </si>
  <si>
    <t>LU0613075752</t>
  </si>
  <si>
    <t>LU0916713018</t>
  </si>
  <si>
    <t>LU0899960404</t>
  </si>
  <si>
    <t>LU0899960073</t>
  </si>
  <si>
    <t>LU0899960156</t>
  </si>
  <si>
    <t>LU1355499671</t>
  </si>
  <si>
    <t>LU0899960230</t>
  </si>
  <si>
    <t>LU0899959901</t>
  </si>
  <si>
    <t>LU1107321637</t>
  </si>
  <si>
    <t>LU1003352801</t>
  </si>
  <si>
    <t>LU1355499754</t>
  </si>
  <si>
    <t>LU1003352983</t>
  </si>
  <si>
    <t>LU1273586138</t>
  </si>
  <si>
    <t>LU1533943855</t>
  </si>
  <si>
    <t>LU1815412702</t>
  </si>
  <si>
    <t>LU1199022234</t>
  </si>
  <si>
    <t>QD</t>
  </si>
  <si>
    <t>QTD</t>
  </si>
  <si>
    <t>QTI</t>
  </si>
  <si>
    <t>SATI</t>
  </si>
  <si>
    <t>MD</t>
  </si>
  <si>
    <t>Frequenza di Distribuzione</t>
  </si>
  <si>
    <t>Maccanismo di Distribuzione</t>
  </si>
  <si>
    <t>Mensile</t>
  </si>
  <si>
    <t>Target annuo diviso 12 moltiplicato per il NAV di fine anno precedente</t>
  </si>
  <si>
    <t>Target annuo diviso 4 moltiplicato per il NAV di fine anno precedente</t>
  </si>
  <si>
    <t>Target annuo diviso 2 moltiplicato per il NAV di fine anno precedente</t>
  </si>
  <si>
    <t>LU1095739733</t>
  </si>
  <si>
    <t>FEA Income Builder Fund AE-QD</t>
  </si>
  <si>
    <t>LU1095740319</t>
  </si>
  <si>
    <t>LU1095740665</t>
  </si>
  <si>
    <t>FEA Income Builder Fund FE-QD</t>
  </si>
  <si>
    <t>LU1095740749</t>
  </si>
  <si>
    <t>FEA Income Builder Fund FHE-QD</t>
  </si>
  <si>
    <t>LU0565134938</t>
  </si>
  <si>
    <t>LU0565419693</t>
  </si>
  <si>
    <t>FEA International Fund AHE-QD</t>
  </si>
  <si>
    <t>FEA International Fund AE-QD</t>
  </si>
  <si>
    <t>Target annuo diviso 4 moltiplicato per il NAV dell'ex date</t>
  </si>
  <si>
    <t>Calendario Stacchi e Meccanismo di Distribuzione Amundi Funds</t>
  </si>
  <si>
    <t>Calendario Stacchi e Meccanismo di Distribuzione First Eagle</t>
  </si>
  <si>
    <t>LU1894676722</t>
  </si>
  <si>
    <t>LU1882460527</t>
  </si>
  <si>
    <t>LU1882460956</t>
  </si>
  <si>
    <t>LU1882468181</t>
  </si>
  <si>
    <t>LU1882468421</t>
  </si>
  <si>
    <t>LU1882476366</t>
  </si>
  <si>
    <t>LU1882476796</t>
  </si>
  <si>
    <t>LU1894679072</t>
  </si>
  <si>
    <t>LU1894680245</t>
  </si>
  <si>
    <t>LU1894680674</t>
  </si>
  <si>
    <t>LU1883843317</t>
  </si>
  <si>
    <t>LU1883843580</t>
  </si>
  <si>
    <t>LU1883844042</t>
  </si>
  <si>
    <t>LU1883844398</t>
  </si>
  <si>
    <t>LU1894682456</t>
  </si>
  <si>
    <t>Semestrale</t>
  </si>
  <si>
    <t>AD</t>
  </si>
  <si>
    <t>Su approvazione del Consiglio di Amministrazione della Società</t>
  </si>
  <si>
    <t>LU1882469155</t>
  </si>
  <si>
    <t>LU1882472886</t>
  </si>
  <si>
    <t>LU1971432825</t>
  </si>
  <si>
    <t>LU1882445056</t>
  </si>
  <si>
    <t>LU1883303049</t>
  </si>
  <si>
    <t>LU1882454637</t>
  </si>
  <si>
    <t>LU1883837699</t>
  </si>
  <si>
    <t>LU1882461764</t>
  </si>
  <si>
    <t>LU2018719562</t>
  </si>
  <si>
    <t>LU2018721030</t>
  </si>
  <si>
    <t>LU2036673296</t>
  </si>
  <si>
    <t>LU2036673452</t>
  </si>
  <si>
    <t>LU2036672991</t>
  </si>
  <si>
    <t>LU2036672728</t>
  </si>
  <si>
    <t>LU2018722947</t>
  </si>
  <si>
    <t>LU1880402505</t>
  </si>
  <si>
    <t>LU2018719992</t>
  </si>
  <si>
    <t>LU2018722194</t>
  </si>
  <si>
    <t>LU2018719646</t>
  </si>
  <si>
    <t>LU2018722780</t>
  </si>
  <si>
    <t>LU2018722608</t>
  </si>
  <si>
    <t>LU2018720222</t>
  </si>
  <si>
    <t>LU2018722863</t>
  </si>
  <si>
    <t>LU1880402414</t>
  </si>
  <si>
    <t>LU1883925718</t>
  </si>
  <si>
    <t>CPR Invest Reactive A-QD</t>
  </si>
  <si>
    <t>LU1965338004</t>
  </si>
  <si>
    <t>LU2007204238</t>
  </si>
  <si>
    <t>LU1920531701</t>
  </si>
  <si>
    <t>LU2007204741</t>
  </si>
  <si>
    <t>LU2007204667</t>
  </si>
  <si>
    <t>LU2035036362</t>
  </si>
  <si>
    <t>LU2035036107</t>
  </si>
  <si>
    <t>LU2035036016</t>
  </si>
  <si>
    <t>LU2028898240</t>
  </si>
  <si>
    <t>LU2028898323</t>
  </si>
  <si>
    <t xml:space="preserve">LU2028898166 </t>
  </si>
  <si>
    <t>cedola fissa definita al lancio * Nav di partenza</t>
  </si>
  <si>
    <t>aliquota fissa * Nav di partenza per i primi 4 anni - ultima cedola variabile</t>
  </si>
  <si>
    <t>aliquota fissa * Nav di partenza per i primi 4 anni - cedole succ. variabili</t>
  </si>
  <si>
    <t>LU2028899305</t>
  </si>
  <si>
    <t>LU2028899487</t>
  </si>
  <si>
    <t>LU2028899214</t>
  </si>
  <si>
    <t>LU1386074881</t>
  </si>
  <si>
    <t>LU1386074964</t>
  </si>
  <si>
    <t>AF EMERGING MARKETS BLENDED BOND - F2 EUR QTD (D)</t>
  </si>
  <si>
    <t>AF EMERGING MARKETS BLENDED BOND - G EUR QTD (D)</t>
  </si>
  <si>
    <t>AF EMERGING MARKETS BOND - E2 EUR QTD (D)</t>
  </si>
  <si>
    <t>AF EMERGING MARKETS BOND - F EUR QTD (D)</t>
  </si>
  <si>
    <t>AF EMERGING MARKETS CORPORATE BOND - F2 EUR Hgd MD (D)</t>
  </si>
  <si>
    <t>AF EMERGING MARKETS CORPORATE BOND - G EUR Hgd MD (D)</t>
  </si>
  <si>
    <t>AF EMERGING MARKETS CORPORATE HIGH YIELD BOND - E2 EUR QTD (D)</t>
  </si>
  <si>
    <t>AF EMERGING MARKETS CORPORATE HIGH YIELD BOND - F EUR QTD (D)</t>
  </si>
  <si>
    <t xml:space="preserve">AF EMERGING MARKETS LOCAL CURRENCY BOND  E2 EUR AD (D) </t>
  </si>
  <si>
    <t>AF EMERGING MARKETS LOCAL CURRENCY BOND - E2 EUR QTD (D)</t>
  </si>
  <si>
    <t>AF EMERGING MARKETS LOCAL CURRENCY BOND - F EUR QTD (D)</t>
  </si>
  <si>
    <t>AF EMERGING MARKETS LOCAL CURRENCY BOND - F2 EUR Hgd MD (D)</t>
  </si>
  <si>
    <t>AF EMERGING MARKETS LOCAL CURRENCY BOND - G EUR Hgd MD (D)</t>
  </si>
  <si>
    <t>AF EMERGING MARKETS SHORT TERM BOND - E2 EUR Hgd QTD (D)</t>
  </si>
  <si>
    <t>AF EMERGING MARKETS SHORT TERM BOND - E2 EUR QTD (D)</t>
  </si>
  <si>
    <t>AF EMERGING MARKETS SHORT TERM BOND - F2 EUR QTD (D)</t>
  </si>
  <si>
    <t>AF EURO AGGREGATE BOND - E2 EUR QTD (D)</t>
  </si>
  <si>
    <t>AF EURO CORPORATE BOND - E2 EUR QTD (D)</t>
  </si>
  <si>
    <t>AF EURO GOVERNMENT BOND - E2 EUR QTD (D)</t>
  </si>
  <si>
    <t>AF EURO HIGH YIELD BOND - F2 EUR MD (D)</t>
  </si>
  <si>
    <t>AF EURO HIGH YIELD BOND - G EUR MD (D)</t>
  </si>
  <si>
    <t>AF EURO HIGH YIELD SHORT TERM BOND - F2 EUR MD (D)</t>
  </si>
  <si>
    <t>AF EURO HIGH YIELD SHORT TERM BOND - G EUR MD (D)</t>
  </si>
  <si>
    <t>AF EURO MULTI-ASSET TARGET INCOME - E2 EUR QTI (D)</t>
  </si>
  <si>
    <t>AF EURO MULTI-ASSET TARGET INCOME - G2 EUR QTI (D)</t>
  </si>
  <si>
    <t>AF EURO STRATEGIC BOND - E2 EUR QTD (D)</t>
  </si>
  <si>
    <t>AF EURO STRATEGIC BOND - F EUR QTD (D)</t>
  </si>
  <si>
    <t>AF GLOBAL AGGREGATE BOND - E2 EUR QTD (D)</t>
  </si>
  <si>
    <t>AF GLOBAL AGGREGATE BOND - F2 EUR Hgd MD (D)</t>
  </si>
  <si>
    <t>AF GLOBAL AGGREGATE BOND - G EUR Hgd MD (D)</t>
  </si>
  <si>
    <t>AF GLOBAL AGGREGATE BOND - G EUR Hgd QTD (D)</t>
  </si>
  <si>
    <t>AF GLOBAL BOND - F2 EUR Hgd MD (D)</t>
  </si>
  <si>
    <t>AF GLOBAL BOND - G EUR Hgd MD (D)</t>
  </si>
  <si>
    <t>AF GLOBAL CORPORATE BOND - F2 EUR Hgd MD (D)</t>
  </si>
  <si>
    <t>AF GLOBAL CORPORATE BOND - G EUR Hgd MD (D)</t>
  </si>
  <si>
    <t>AF GLOBAL HIGH YIELD BOND - F2 EUR Hgd MD (D)</t>
  </si>
  <si>
    <t>AF GLOBAL HIGH YIELD BOND - G EUR Hgd MD (D)</t>
  </si>
  <si>
    <t>AF GLOBAL MULTI-ASSET CONSERVATIVE - G EUR QTD (D)</t>
  </si>
  <si>
    <t>AF GLOBAL MULTI-ASSET TARGET INCOME - E2 EUR Hgd SATI (D)</t>
  </si>
  <si>
    <t>AF GLOBAL MULTI-ASSET TARGET INCOME - E2 EUR QTI (D)</t>
  </si>
  <si>
    <t>AF GLOBAL MULTI-ASSET TARGET INCOME - E2 EUR SATI (D)</t>
  </si>
  <si>
    <t>AF GLOBAL MULTI-ASSET TARGET INCOME - G2 EUR Hgd QTI (D)</t>
  </si>
  <si>
    <t>AF GLOBAL SUBORDINATED BOND - E2 EUR QTD (D)</t>
  </si>
  <si>
    <t>AF MULTI-ASSET CONSERVATIVE - F2 EUR QTD (D)</t>
  </si>
  <si>
    <t>AF MULTI-ASSET CONSERVATIVE - G EUR QTD (D)</t>
  </si>
  <si>
    <t>AF OPTIMAL YIELD - E2 EUR QTD (D)</t>
  </si>
  <si>
    <t>AF OPTIMAL YIELD - F EUR QTD (D)</t>
  </si>
  <si>
    <t>AF OPTIMAL YIELD - G EUR QD (D)</t>
  </si>
  <si>
    <t>AF OPTIMAL YIELD SHORT TERM - E2 EUR QTD (D)</t>
  </si>
  <si>
    <t>AF OPTIMAL YIELD SHORT TERM - F EUR QTD (D)</t>
  </si>
  <si>
    <t xml:space="preserve">AF OPTIMAL YIELD SHORT TERM  G EUR AD (D) </t>
  </si>
  <si>
    <t>AF PIONEER GLOBAL HIGH YIELD BOND - E2 EUR QTD (D)</t>
  </si>
  <si>
    <t>AF PIONEER GLOBAL HIGH YIELD BOND - F EUR QTD (D)</t>
  </si>
  <si>
    <t>AF PIONEER INCOME OPPORTUNITIES - E2 EUR Hgd QTI (D)</t>
  </si>
  <si>
    <t>AF PIONEER INCOME OPPORTUNITIES - E2 EUR PHgd QTI (D)</t>
  </si>
  <si>
    <t>AF PIONEER INCOME OPPORTUNITIES - E2 EUR QTI (D)</t>
  </si>
  <si>
    <t>AF PIONEER INCOME OPPORTUNITIES - G EUR Hgd QTI (D)</t>
  </si>
  <si>
    <t>AF PIONEER INCOME OPPORTUNITIES - G EUR PHgd QTI (D)</t>
  </si>
  <si>
    <t>AF PIONEER INCOME OPPORTUNITIES - G EUR QTI (D)</t>
  </si>
  <si>
    <t>AF PIONEER STRATEGIC INCOME - E2 EUR Hgd QTD (D)</t>
  </si>
  <si>
    <t>AF PIONEER STRATEGIC INCOME - E2 EUR QTD (D)</t>
  </si>
  <si>
    <t>AF PIONEER STRATEGIC INCOME - F EUR QTD (D)</t>
  </si>
  <si>
    <t>AF PIONEER STRATEGIC INCOME - G EUR Hgd QD (D)</t>
  </si>
  <si>
    <t>AF PIONEER US BOND - F2 EUR Hgd QTD (D)</t>
  </si>
  <si>
    <t>AF REAL ASSETS TARGET INCOME - E2 EUR Hgd SATI (D)</t>
  </si>
  <si>
    <t>AF REAL ASSETS TARGET INCOME - G2 EUR Hgd QTI (D)</t>
  </si>
  <si>
    <t>AF TARGET COUPON - F2 EUR AD (D)           </t>
  </si>
  <si>
    <t>AF TARGET COUPON - G2 EUR AD (D)</t>
  </si>
  <si>
    <t>AF EMERGING MARKETS BLENDED BOND - F EUR QTD (D)</t>
  </si>
  <si>
    <t>AF EMERGING MARKETS BOND - G EUR QTD (D)</t>
  </si>
  <si>
    <t>AF EMERGING MARKETS SHORT TERM BOND - G2 EUR Hgd QTD (D)</t>
  </si>
  <si>
    <t>AF EMERGING MARKETS SHORT TERM BOND - G2 EUR QTD (D)</t>
  </si>
  <si>
    <t>AF PIONEER STRATEGIC INCOME - G EUR QTD (D)</t>
  </si>
  <si>
    <t>AF PIONEER US BOND - F EUR Hgd QTD (D)</t>
  </si>
  <si>
    <t>AF PIONEER US BOND - G EUR Hgd QTD (D)</t>
  </si>
  <si>
    <t>Quarterly</t>
  </si>
  <si>
    <t>Monthly</t>
  </si>
  <si>
    <t>Annually</t>
  </si>
  <si>
    <t>Semi-annual Target</t>
  </si>
  <si>
    <t>Annual</t>
  </si>
  <si>
    <t>FEA Income Builder Fund AHE-QVD</t>
  </si>
  <si>
    <t>QVD</t>
  </si>
  <si>
    <t>AF MULTI-ASSET CONSERVATIVE - F EUR QTD (D)</t>
  </si>
  <si>
    <t xml:space="preserve">AF EURO AGGREGATE BOND - E2 EUR AD (D) </t>
  </si>
  <si>
    <t xml:space="preserve">AF EURO AGGREGATE BOND - F EUR AD (D) </t>
  </si>
  <si>
    <t>AF GLOBAL BOND - F EUR Hgd MD (D)</t>
  </si>
  <si>
    <t xml:space="preserve">NAV di partenza </t>
  </si>
  <si>
    <t>Annual (USD)</t>
  </si>
  <si>
    <t>FEA Income Builder Fund AHE-QD</t>
  </si>
  <si>
    <t>AF EMERGING MARKETS CORPORATE BOND - F EUR Hgd MD (D)</t>
  </si>
  <si>
    <t>AF EURO HIGH YIELD SHORT TERM BOND - F EUR MD (D)</t>
  </si>
  <si>
    <t>AF GLOBAL AGGREGATE BOND - F EUR Hgd MD (D)</t>
  </si>
  <si>
    <t>AF GLOBAL CORPORATE BOND - F EUR Hgd MD (D)</t>
  </si>
  <si>
    <t>AF GLOBAL HIGH YIELD BOND - F EUR Hgd MD (D)</t>
  </si>
  <si>
    <t>AF PIONEER US BOND - G EUR Hgd MD (D)</t>
  </si>
  <si>
    <t>AF EURO HIGH YIELD BOND - F EUR MD (D)</t>
  </si>
  <si>
    <t xml:space="preserve">AF EMERGING MARKETS BOND - G EUR Hgd AD (D) </t>
  </si>
  <si>
    <t xml:space="preserve">AF EMERGING MARKETS LOCAL CURRENCY BOND - F EUR AD (D) </t>
  </si>
  <si>
    <t xml:space="preserve">AF PIONEER GLOBAL HIGH YIELD BOND - G EUR Hgd AD (D) </t>
  </si>
  <si>
    <t xml:space="preserve">AF PIONEER STRATEGIC INCOME - E2 EUR AD (D) </t>
  </si>
  <si>
    <t xml:space="preserve">AF PIONEER STRATEGIC INCOME - E2 EUR Hgd AD (D) </t>
  </si>
  <si>
    <t xml:space="preserve">AF PIONEER STRATEGIC INCOME - F EUR AD (D) </t>
  </si>
  <si>
    <t xml:space="preserve">AF PIONEER STRATEGIC INCOME - F EUR Hgd AD (D) </t>
  </si>
  <si>
    <t xml:space="preserve">AF PIONEER STRATEGIC INCOME - G EUR Hgd AD (D) </t>
  </si>
  <si>
    <t>LU1583992539</t>
  </si>
  <si>
    <t>LU1583994071</t>
  </si>
  <si>
    <t>LU2018722350</t>
  </si>
  <si>
    <t>AF GLOBAL TOTAL RETURN BOND - F2 EUR QTD (D)</t>
  </si>
  <si>
    <t>AF GLOBAL TOTAL RETURN BOND - G EUR QTD (D)</t>
  </si>
  <si>
    <t>AF GLOBAL TOTAL RETURN BOND - F EUR QTD (D)</t>
  </si>
  <si>
    <t>AF EURO AGGREGATE BOND - M2 EUR QTD (D)</t>
  </si>
  <si>
    <t>AF EURO CORPORATE BOND - M2 EUR QTD (D)</t>
  </si>
  <si>
    <t>AF EURO GOVERNMENT BOND - M2 EUR QTD (D)</t>
  </si>
  <si>
    <t>AF GLOBAL AGGREGATE BOND - M2 EUR Hgd QTD (D)</t>
  </si>
  <si>
    <t>AF GLOBAL AGGREGATE BOND - M2 EUR QTD (D)</t>
  </si>
  <si>
    <t>AF GLOBAL SUBORDINATED BOND - M2 EUR QTD (D)</t>
  </si>
  <si>
    <t>AF OPTIMAL YIELD - M2 EUR QTD (D)</t>
  </si>
  <si>
    <t>AF OPTIMAL YIELD SHORT TERM - M2 EUR QTD (D)</t>
  </si>
  <si>
    <t>AF PIONEER INCOME OPPORTUNITIES - M2 EUR Hgd QTD (D)</t>
  </si>
  <si>
    <t>AF EURO MULTI-ASSET TARGET INCOME - M2 EUR QTI (D)</t>
  </si>
  <si>
    <t>AF GLOBAL MULTI-ASSET TARGET INCOME - M2 EUR SATI (D)</t>
  </si>
  <si>
    <t>AF EMERGING MARKETS SHORT TERM BOND - M2 EUR QD (D)</t>
  </si>
  <si>
    <t>AF EMERGING MARKETS BOND - M2 EUR QTD (D)</t>
  </si>
  <si>
    <t>AF EURO STRATEGIC BOND - M2 EUR QTD (D)</t>
  </si>
  <si>
    <t>AF PIONEER GLOBAL HIGH YIELD BOND - M2 EUR Hgd QTD (D)</t>
  </si>
  <si>
    <t>AF PIONEER STRATEGIC INCOME - M2 EUR Hgd QTD (D)</t>
  </si>
  <si>
    <t>AF EURO AGGREGATE BOND - M2 EUR AD (D)</t>
  </si>
  <si>
    <t>AF EMERGING MARKETS BOND - M2 EUR AD (D)</t>
  </si>
  <si>
    <t>AF EURO CORPORATE BOND - M2 EUR AD (D)</t>
  </si>
  <si>
    <t>AF EMERGING MARKETS LOCAL CURRENCY BOND - M2 EUR AD (D)</t>
  </si>
  <si>
    <t>AF EURO STRATEGIC BOND - M2 EUR AD (D)</t>
  </si>
  <si>
    <t>AF PIONEER GLOBAL HIGH YIELD BOND - M2 EUR AD (D)</t>
  </si>
  <si>
    <t>AF STRATEGIC BOND - G EUR QD (D)</t>
  </si>
  <si>
    <t>AF STRATEGIC BOND - E2 EUR QTD (D)</t>
  </si>
  <si>
    <t>AF STRATEGIC BOND - F EUR QTD (D)</t>
  </si>
  <si>
    <t xml:space="preserve">AF STRATEGIC BOND - E2 EUR AD (D) </t>
  </si>
  <si>
    <t xml:space="preserve">AF STRATEGIC BOND - F EUR AD (D) </t>
  </si>
  <si>
    <t xml:space="preserve">AF STRATEGIC BOND - G EUR AD (D) </t>
  </si>
  <si>
    <t>AF EUROPEAN EQUITY  SUSTAINABLE INCOME - E2 EUR SATI (D)</t>
  </si>
  <si>
    <t>AF EUROPEAN EQUITY SUSTAINABLE INCOME - G2 EUR SATI (D)</t>
  </si>
  <si>
    <t>AF EUROPEAN EQUITY SUSTAINABLE INCOME - E2 EUR SATI (D)</t>
  </si>
  <si>
    <t>AF GLOBAL EQUITY SUSTAINABLE INCOME - E2 EUR QTI (D)</t>
  </si>
  <si>
    <t>AF GLOBAL EQUITY SUSTAINABLE INCOME - E2 EUR SATI (D)</t>
  </si>
  <si>
    <t>AF GLOBAL EQUITY SUSTAINABLE INCOME - G2 EUR SATI (D)</t>
  </si>
  <si>
    <t>AF MULTI-ASSET REAL RETURN - F2 EUR QTD (D)</t>
  </si>
  <si>
    <t>AF MULTI-ASSET REAL RETURN - G EUR QTD (D)</t>
  </si>
  <si>
    <t>LU1883866797</t>
  </si>
  <si>
    <t>LU1883867092</t>
  </si>
  <si>
    <t>AF REAL ASSETS TARGET INCOME - E2 EUR ATI (D)</t>
  </si>
  <si>
    <t>AF REAL ASSETS TARGET INCOME - F2 EUR ATI (D)</t>
  </si>
  <si>
    <t>AF GLOBAL EQUITY  SUSTAINABLE INCOME - M2 EUR Hgd QTI (D)</t>
  </si>
  <si>
    <t>AF GLOBAL EQUITY SUSTAINABLE INCOME - M2 EUR QTI (D)</t>
  </si>
  <si>
    <t>AF GLOBAL EQUITY SUSTAINABLE INCOME - M2 EUR Hgd QTI (D)</t>
  </si>
  <si>
    <t>LU2002722424</t>
  </si>
  <si>
    <t>AF GLOBAL EQUITY SUSTAINABLE INCOME - M2 EUR SATI (D)</t>
  </si>
  <si>
    <t>AF EUROPEAN EQUITY SUSTAINABLE INCOME - M2 EUR SATI (D)</t>
  </si>
  <si>
    <t>LU2002722697</t>
  </si>
  <si>
    <t>AF GLOBAL MULTI-ASSET TARGET INCOME - M2 EUR Hdg SATI (D)</t>
  </si>
  <si>
    <t>LU2002723828</t>
  </si>
  <si>
    <t>LU2002724040</t>
  </si>
  <si>
    <t>AF REAL ASSETS TARGET INCOME - M2 EUR Hdg SATI (D)</t>
  </si>
  <si>
    <t>AF REAL ASSETS TARGET INCOME - M2 USD ATI (D)</t>
  </si>
  <si>
    <t>ATI</t>
  </si>
  <si>
    <t>Semi-Annually</t>
  </si>
  <si>
    <t>AF GLOBAL BOND - ME AD (D)</t>
  </si>
  <si>
    <t>Target Annuo diviso 4 moltiplicato per NAV fine anno precedente</t>
  </si>
  <si>
    <t>LU1915993577</t>
  </si>
  <si>
    <t>LU2104304311</t>
  </si>
  <si>
    <t>non distrib</t>
  </si>
  <si>
    <t>0,174 EUR</t>
  </si>
  <si>
    <t>3,4% USD</t>
  </si>
  <si>
    <t>Annual (EUR equiv USD)</t>
  </si>
  <si>
    <t>LU1915993650</t>
  </si>
  <si>
    <t>LU2110861221</t>
  </si>
  <si>
    <t>AF GLOBAL CORPORATE BOND - M2 EUR Hgd QTD (D)</t>
  </si>
  <si>
    <t>LU2085676679</t>
  </si>
  <si>
    <t>AF EMERGING MARKETS CORPORATE HIGH YIELD BOND - G EUR QTD (D)</t>
  </si>
  <si>
    <t>AF GLOBAL SUBORDINATED BOND - G EUR QTD (D)</t>
  </si>
  <si>
    <t>LU2085676836</t>
  </si>
  <si>
    <t>LU0945150844</t>
  </si>
  <si>
    <t>AF BOND ASIAN LOCAL DEBT - FHE MD (D)</t>
  </si>
  <si>
    <t>LU1103150238</t>
  </si>
  <si>
    <t>LU1103150071</t>
  </si>
  <si>
    <t>AF GLOBAL MACRO BONDS &amp; CURRENCIES - F2 EUR MD (D)</t>
  </si>
  <si>
    <t>AF GLOBAL MACRO BONDS &amp; CURRENCIES - G EUR MD (D)</t>
  </si>
  <si>
    <t>AF MULTI-ASSET REAL RETURN - F EUR QTD (D)</t>
  </si>
  <si>
    <t>LU1984707163</t>
  </si>
  <si>
    <t>3% in USD</t>
  </si>
  <si>
    <t>LU2028898919</t>
  </si>
  <si>
    <t>0,1496 Eur</t>
  </si>
  <si>
    <t>AF GLOBAL MULTI-ASSET TARGET INCOME - M2 EUR Hgd SATI (D)</t>
  </si>
  <si>
    <t>3,5% in USD</t>
  </si>
  <si>
    <t>LU2082311627</t>
  </si>
  <si>
    <t>LU2082310819</t>
  </si>
  <si>
    <t>LU2082310736</t>
  </si>
  <si>
    <t>LU2082310579</t>
  </si>
  <si>
    <t>3,25% (USD)</t>
  </si>
  <si>
    <t>3,45% (USD)</t>
  </si>
  <si>
    <t>LU2082311387</t>
  </si>
  <si>
    <t>ASI - Formula Selezione Euro 05/2026 - W EUR</t>
  </si>
  <si>
    <t>LU2082312195</t>
  </si>
  <si>
    <t>LU2082311890</t>
  </si>
  <si>
    <t>3,55% (USD)</t>
  </si>
  <si>
    <t>3,75% (USD)</t>
  </si>
  <si>
    <t>LU2082312351</t>
  </si>
  <si>
    <t>LU2082312864</t>
  </si>
  <si>
    <t>LU2082312781</t>
  </si>
  <si>
    <t>5% (USD)</t>
  </si>
  <si>
    <t>5,2% (USD)</t>
  </si>
  <si>
    <t>LU2122994994</t>
  </si>
  <si>
    <t>LU2122994721</t>
  </si>
  <si>
    <t>LU2122997237</t>
  </si>
  <si>
    <t>LU2122997153</t>
  </si>
  <si>
    <t>LU2180175254</t>
  </si>
  <si>
    <t xml:space="preserve">LU2180174281 </t>
  </si>
  <si>
    <t>LU2180174109</t>
  </si>
  <si>
    <t>ASI - Globale Dividendo Ottobre 2025 - E EUR</t>
  </si>
  <si>
    <t>LU2180174877</t>
  </si>
  <si>
    <t>LU2180174950</t>
  </si>
  <si>
    <t>1,4% (USD)</t>
  </si>
  <si>
    <t>ASI - Formula ESG Giugno 2025 - E EUR</t>
  </si>
  <si>
    <t>LU2002724396</t>
  </si>
  <si>
    <t xml:space="preserve">AF TARGET COUPON - M2 EUR AD (D) </t>
  </si>
  <si>
    <t>AF ASIA EQUITY CONCENTRATED - M2 EUR AD (D)</t>
  </si>
  <si>
    <t>LU2002721616</t>
  </si>
  <si>
    <t>LU2002721376</t>
  </si>
  <si>
    <t>LU2002720725</t>
  </si>
  <si>
    <t>LU1883336304</t>
  </si>
  <si>
    <t>AF GLOBAL AGGREGATE BOND - M2 EUR Hgd AD (D)</t>
  </si>
  <si>
    <t>AF EURO HIGH YIELD SHORT TERM BOND - M2 EUR AD (D)</t>
  </si>
  <si>
    <t>AF EMERGING MARKETS HARD CURRENCY BOND - M2 EUR AD (D)</t>
  </si>
  <si>
    <t>AF MULTI-STRATEGY GROWTH - M2 EUR AD (D)</t>
  </si>
  <si>
    <t>3,60% in USD</t>
  </si>
  <si>
    <t>3,8% in USD</t>
  </si>
  <si>
    <t>LU2215999694</t>
  </si>
  <si>
    <t>xx/11/2021</t>
  </si>
  <si>
    <t>1,40% (USD)</t>
  </si>
  <si>
    <t>ASI - Europa 6 Novembre 2020 - E EUR</t>
  </si>
  <si>
    <t xml:space="preserve">ASI -  Europa 30 Novembre 2020 - E EUR  </t>
  </si>
  <si>
    <t>ASI - Globale Dividendo 11 Dicembre 2020 - E EUR</t>
  </si>
  <si>
    <t>ASI - Globale Dividendo 18 Dicembre 2020 - E EUR</t>
  </si>
  <si>
    <t>LU2215999009</t>
  </si>
  <si>
    <t>LU2215998886</t>
  </si>
  <si>
    <t xml:space="preserve">1,10% (USD) </t>
  </si>
  <si>
    <t>Amundi S.F. - Euro Curve 10 + Year - E EUR QTD</t>
  </si>
  <si>
    <t>Amundi S.F. - Euro Curve 7-10 Year  - E EUR QTD</t>
  </si>
  <si>
    <t>Amundi S.F. - Emerging Markets Bond 2024 - E EUR AD</t>
  </si>
  <si>
    <t>Amundi S.F. - High Yield &amp; Emerging Markets Bond Opportunities 2021 - E AD</t>
  </si>
  <si>
    <t>Amundi S.F. - Emerging Markets Bond 2025 classe E EUR non-Hgd AD</t>
  </si>
  <si>
    <t>Amundi S.F. - Global High Yield Opportunities 2025 - B EUR Hdg AD</t>
  </si>
  <si>
    <t>Amundi S.F. - Global High Yield Opportunities 2025 - B EUR AD</t>
  </si>
  <si>
    <t>Amundi S.F. - Global High Yield Opportunities 2025 - E EUR Hdg AD</t>
  </si>
  <si>
    <t>Amundi S.F. - Diversified Target Income 11/2022 - W AD</t>
  </si>
  <si>
    <t>AMUNDI FUND SOLUTIONS - BUY AND WATCH OPTIMAL YIELD BOND 04/2026 - W EUR AD</t>
  </si>
  <si>
    <t>LU2092768444</t>
  </si>
  <si>
    <t>AMUNDI FUND SOLUTIONS - BUY AND WATCH OPTIMAL YIELD BOND 04/2026 - E EUR AD</t>
  </si>
  <si>
    <t>LU2092768014</t>
  </si>
  <si>
    <t>aliquota fissa * Nav di partenza</t>
  </si>
  <si>
    <t>ASI - Progetto Cedola 12/2020 - E EUR AD</t>
  </si>
  <si>
    <t>ASI - Progetto Cedola 12/2023 - E EUR AD</t>
  </si>
  <si>
    <t>ASI - Obbligazionario Euro 5 anni 11/2024 - W EUR AD</t>
  </si>
  <si>
    <t>15/01/2021
29/01/2021</t>
  </si>
  <si>
    <t>20/01/2021
03/02/2021</t>
  </si>
  <si>
    <t>31/12/2020
15/01/2021</t>
  </si>
  <si>
    <t>0,03 (ex-date 15/1) +
0,01 (ex-date 29/1)</t>
  </si>
  <si>
    <t>ASI - Selezione Dividendo 15 Maggio 2023 - E EUR</t>
  </si>
  <si>
    <t>ASI - Formula ESG Luglio 2025 - E EUR</t>
  </si>
  <si>
    <t>ASI - Globale Giugno 2022 - E EUR</t>
  </si>
  <si>
    <t>ASI - Formula ESG Agosto 2025 - E EUR</t>
  </si>
  <si>
    <t>ASI - Globale Maggio 2021 - E EUR</t>
  </si>
  <si>
    <t>ASI - Formula ESG Settembre 2025 - E EUR</t>
  </si>
  <si>
    <t>ASI - Globale Giugno 2021 - E EUR</t>
  </si>
  <si>
    <t>ASI - Globale Luglio 2021 - E EUR</t>
  </si>
  <si>
    <t>ASI - Globale Ottobre 2021 - E EUR</t>
  </si>
  <si>
    <t>LU1664216329</t>
  </si>
  <si>
    <t>Amundi S.F. - Amundi Target Trend 2024 - W AD</t>
  </si>
  <si>
    <t>ASI - Progetto Cedola 01/2023 - E EUR AD</t>
  </si>
  <si>
    <t>ASI - Progetto Cedola 01/2024 - E EUR AD</t>
  </si>
  <si>
    <t>ASI - Obbligazionario Alto Rendimento Diversificato 01/2026 - B EUR Hgd AD</t>
  </si>
  <si>
    <t>ASI - Obbligazionario Alto Rendimento Diversificato 01/2026 - B EUR AD</t>
  </si>
  <si>
    <t>ASI - Obbligazionario Alto Rendimento Diversificato 01/2026 - E EUR AD</t>
  </si>
  <si>
    <t>ASI - Progetto Cedola 02/2021 - E EUR AD</t>
  </si>
  <si>
    <t>ASI - Obbligazionario Euro 04/2025 - W EUR AD</t>
  </si>
  <si>
    <t>ASI - Progetto Cedola 02/2022 - E EUR AD</t>
  </si>
  <si>
    <t>ASI - Progetto Cedola 02/2023 - E EUR AD</t>
  </si>
  <si>
    <t>ASI - Obbligazionario Alto Rendimento Diversificato 02/2026 - B EUR AD</t>
  </si>
  <si>
    <t>ASI - Obbligazionario Alto Rendimento Diversificato 02/2026 - E EUR AD</t>
  </si>
  <si>
    <t>ASI - Progetto Cedola 03/2021 - E EUR AD</t>
  </si>
  <si>
    <t>ASI - Obbligazionario Euro 04/2024 - E EUR AD</t>
  </si>
  <si>
    <t>ASI - Progetto Cedola 03/2023 - E EUR AD</t>
  </si>
  <si>
    <t>ASI - Progetto Cedola 03/2022 - E EUR AD</t>
  </si>
  <si>
    <t>ASI - Obbligazionario Euro 04/2024 - B EUR AD</t>
  </si>
  <si>
    <t>ASI - Obbligazionario Alto Rendimento Diversificato 03/2026 - E EUR AD</t>
  </si>
  <si>
    <t>ASI - Obbligazionario Alto Rendimento Diversificato 03/2026 - B EUR AD</t>
  </si>
  <si>
    <t>ASI - Obbligazionario Euro 05/2025 - W EUR AD</t>
  </si>
  <si>
    <t>ASI - Progetto Cedola 04/2024 - E EUR AD</t>
  </si>
  <si>
    <t>ASI - Progetto Cedola 04/2023 - E EUR AD</t>
  </si>
  <si>
    <t>ASI - Progetto Cedola 04/2022 - E EUR AD</t>
  </si>
  <si>
    <t>ASI - Progetto Cedola 05/2021 - E EUR AD</t>
  </si>
  <si>
    <t>ASI - Obbligazionario Euro 05/2024 - E EUR AD</t>
  </si>
  <si>
    <t>ASI - Obbligazionario Euro 05/2024 - W EUR AD</t>
  </si>
  <si>
    <t>ASI - Progetto Cedola 05/2022 - E EUR AD</t>
  </si>
  <si>
    <t>ASI - Progetto Cedola 05/2023 - E EUR AD</t>
  </si>
  <si>
    <t>ASI - Obbligazionario Euro 06/2025 - W EUR AD</t>
  </si>
  <si>
    <t>ASI - Obbligazionario Euro 06/2025 - E EUR AD</t>
  </si>
  <si>
    <t>ASI - Progetto Cedola 06/2021 - E EUR AD</t>
  </si>
  <si>
    <t>ASI - Progetto Cedola 06/2022 - E EUR AD</t>
  </si>
  <si>
    <t>ASI - Progetto Cedola 06/2023 - E EUR AD</t>
  </si>
  <si>
    <t>ASI - Obbligazionario Euro 07/2024 - W EUR AD</t>
  </si>
  <si>
    <t>ASI - Obbligazionario Euro 07/2024 - E EUR AD</t>
  </si>
  <si>
    <t>ASI - Obbligazionario Euro 08/2025 - W EUR AD</t>
  </si>
  <si>
    <t>ASI - Obbligazionario Euro 08/2025 - E EUR AD</t>
  </si>
  <si>
    <t>ASI - Progetto Cedola 07/2022 - E EUR AD</t>
  </si>
  <si>
    <t>ASI - Progetto Cedola 07/2023 - E EUR AD</t>
  </si>
  <si>
    <t>ASI - Obbligazionario Ripresa Globale 11/2023 - U EUR AD</t>
  </si>
  <si>
    <t>EUR equivalent of USD 0,0828</t>
  </si>
  <si>
    <t>ASI - Obbligazionario Ripresa Globale 11/2023 - U EUR Hgd AD</t>
  </si>
  <si>
    <t>ASI - Obbligazionario Ripresa Globale 12/2023 - U EUR AD</t>
  </si>
  <si>
    <t>ASI - Obbligazionario Euro 11/2025 - E EUR AD</t>
  </si>
  <si>
    <t>ASI - Obbligazionario Euro 11/2025 - W EUR AD</t>
  </si>
  <si>
    <t>ASI - Obbligazionario Ripresa Globale 02/2024 - U EUR AD</t>
  </si>
  <si>
    <t>EUR equivalent of USD 0,0658</t>
  </si>
  <si>
    <t>ASI - Obbligazionario Euro 12/2025 - W EUR AD</t>
  </si>
  <si>
    <t>ASI - Obbligazionario Euro 02/2026 - W EUR AD</t>
  </si>
  <si>
    <t>ASI - Progetto Cedola 08/2021 - E EUR AD</t>
  </si>
  <si>
    <t>ASI - Obbligazionario Euro 07/2024 (II) - E EUR AD</t>
  </si>
  <si>
    <t>ASI - Obbligazionario Euro 07/2024 (II) - W EUR AD</t>
  </si>
  <si>
    <t>ASI - Progetto Cedola 09/2022 - E EUR AD</t>
  </si>
  <si>
    <t>ASI - Progetto Cedola 09/2021 - E EUR AD</t>
  </si>
  <si>
    <t>ASI - Obbligazionario Euro 2023 - E EUR AD</t>
  </si>
  <si>
    <t>ASI - Progetto Cedola 09/2023 - E EUR AD</t>
  </si>
  <si>
    <t>ASI - Progetto Cedola 10/2022 - E EUR AD</t>
  </si>
  <si>
    <t>ASI - Progetto Cedola 10/2023 - E EUR AD</t>
  </si>
  <si>
    <t>ASI - Obbligazionario Alto Rendimento 10/2025 - B EUR AD</t>
  </si>
  <si>
    <t>ASI - Obbligazionario Alto Rendimento 10/2025 - E EUR AD</t>
  </si>
  <si>
    <t>ASI - Obbligazionario Alto Rendimento 10/2025 - B EUR Hdg AD</t>
  </si>
  <si>
    <t>ASI - Progetto Cedola 11/2021 - E EUR AD</t>
  </si>
  <si>
    <t>ASI - Obbligazionario Alto Rendimento 11/2025 cl B EUR AD</t>
  </si>
  <si>
    <t>EUR equivalent of USD 0,1957</t>
  </si>
  <si>
    <t>3,70% in USD</t>
  </si>
  <si>
    <t>3,55% in USD</t>
  </si>
  <si>
    <t>3,75% in USD</t>
  </si>
  <si>
    <t>ASI - Obbligazionario Alto Rendimento 11/2025 - E EUR AD</t>
  </si>
  <si>
    <t>EUR equivalent of USD 0,2067</t>
  </si>
  <si>
    <t>ASI - Obbligazionario Alto Rendimento 11/2025 - B EUR Hdg AD</t>
  </si>
  <si>
    <t>ASI - Obbligazionario Euro 12/2023 - E EUR AD</t>
  </si>
  <si>
    <t>ASI - Progetto Cedola 12/2022 - E EUR AD</t>
  </si>
  <si>
    <t>ASI - Progetto Cedola 12/2021 - E EUR AD</t>
  </si>
  <si>
    <t>LU2033259750</t>
  </si>
  <si>
    <t>AMUNDI FUND SOLUTIONS - BUY AND WATCH HIGH INCOME BOND 01/2025 - E EUR AD</t>
  </si>
  <si>
    <t>AF REAL ASSETS TARGET INCOME - M2 EUR Hgd SATI</t>
  </si>
  <si>
    <t>AF REAL ASSETS TARGET INCOME - M2 EUR Hgd SATI (D)</t>
  </si>
  <si>
    <t>ISIN fuso in 10 marzo 2021 nell'ISIN LU1103787690 a capitalizzazione dei proventi</t>
  </si>
  <si>
    <t>XX/03/2022</t>
  </si>
  <si>
    <t>AMUNDI FUND SOLUTIONS - BUY AND WATCH US HIGH YIELD OPPORTUNITIES 03/2025 - B EUR AD</t>
  </si>
  <si>
    <t>LU2265236187</t>
  </si>
  <si>
    <t>aliquota fissa * Nav di partenza - primi 3 anni (successivamente variabile)</t>
  </si>
  <si>
    <t>LU2305762622</t>
  </si>
  <si>
    <t>LU2279408673</t>
  </si>
  <si>
    <t>LU2279408327</t>
  </si>
  <si>
    <t>LU2082312518</t>
  </si>
  <si>
    <t>0.3588</t>
  </si>
  <si>
    <t>0.3726</t>
  </si>
  <si>
    <t>0.0205</t>
  </si>
  <si>
    <t>0.1137</t>
  </si>
  <si>
    <t>0.1172</t>
  </si>
  <si>
    <t>0.0062</t>
  </si>
  <si>
    <r>
      <rPr>
        <b/>
        <sz val="14"/>
        <color indexed="9"/>
        <rFont val="Arial"/>
        <family val="2"/>
      </rPr>
      <t>RECORD DATE</t>
    </r>
    <r>
      <rPr>
        <b/>
        <sz val="12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(data di determinazione dei titolari di quote che hanno diritto a ricevere la cedola)</t>
    </r>
  </si>
  <si>
    <r>
      <rPr>
        <b/>
        <sz val="14"/>
        <color indexed="9"/>
        <rFont val="Arial"/>
        <family val="2"/>
      </rPr>
      <t>EX-DATE</t>
    </r>
    <r>
      <rPr>
        <b/>
        <sz val="12"/>
        <color indexed="9"/>
        <rFont val="Arial"/>
        <family val="2"/>
      </rPr>
      <t xml:space="preserve">  
</t>
    </r>
    <r>
      <rPr>
        <b/>
        <sz val="11"/>
        <color indexed="9"/>
        <rFont val="Arial"/>
        <family val="2"/>
      </rPr>
      <t>(data primo Nav al netto della cedola distribuita)</t>
    </r>
  </si>
  <si>
    <r>
      <rPr>
        <b/>
        <sz val="14"/>
        <color indexed="9"/>
        <rFont val="Arial"/>
        <family val="2"/>
      </rPr>
      <t>DATA VALUTA</t>
    </r>
    <r>
      <rPr>
        <b/>
        <sz val="12"/>
        <color indexed="9"/>
        <rFont val="Arial"/>
        <family val="2"/>
      </rPr>
      <t xml:space="preserve"> di
pagamento
</t>
    </r>
    <r>
      <rPr>
        <b/>
        <sz val="11"/>
        <color indexed="9"/>
        <rFont val="Arial"/>
        <family val="2"/>
      </rPr>
      <t>(Ex-date +3)</t>
    </r>
  </si>
  <si>
    <r>
      <t xml:space="preserve">Provento distribuito per azione 
</t>
    </r>
    <r>
      <rPr>
        <b/>
        <sz val="10"/>
        <color indexed="9"/>
        <rFont val="Arial"/>
        <family val="2"/>
      </rPr>
      <t>(quota capitale + quota provento lorda)</t>
    </r>
  </si>
  <si>
    <t>ALIQUOTA</t>
  </si>
  <si>
    <t>QUOTA CAPITALE</t>
  </si>
  <si>
    <t>QUOTA PROVENTO LORDA</t>
  </si>
  <si>
    <t>QUOTA PROVENTO NETTA</t>
  </si>
  <si>
    <r>
      <t xml:space="preserve">Provento NETTO per azione 
</t>
    </r>
    <r>
      <rPr>
        <b/>
        <sz val="10"/>
        <color indexed="9"/>
        <rFont val="Arial"/>
        <family val="2"/>
      </rPr>
      <t>(quota capitale + quota provento netta)</t>
    </r>
  </si>
  <si>
    <r>
      <t xml:space="preserve">Provento distribuito 
per azione 
</t>
    </r>
    <r>
      <rPr>
        <b/>
        <sz val="10"/>
        <color indexed="9"/>
        <rFont val="Arial"/>
        <family val="2"/>
      </rPr>
      <t>(quota capitale + quota provento lorda)</t>
    </r>
  </si>
  <si>
    <t>Data Lancio / Inizio commercializz. in Italia</t>
  </si>
  <si>
    <t>PROVENTO PER QUOTE</t>
  </si>
  <si>
    <r>
      <rPr>
        <b/>
        <sz val="14"/>
        <color indexed="9"/>
        <rFont val="Arial"/>
        <family val="2"/>
      </rPr>
      <t>DATA VALUTA</t>
    </r>
    <r>
      <rPr>
        <b/>
        <sz val="12"/>
        <color indexed="9"/>
        <rFont val="Arial"/>
        <family val="2"/>
      </rPr>
      <t xml:space="preserve"> 
di
pagamento
</t>
    </r>
    <r>
      <rPr>
        <b/>
        <sz val="11"/>
        <color indexed="9"/>
        <rFont val="Arial"/>
        <family val="2"/>
      </rPr>
      <t>(Ex-date +3)</t>
    </r>
  </si>
  <si>
    <t>AF PIONEER US CORPORATE BOND - M2 EUR Hgd QD</t>
  </si>
  <si>
    <t>AF GLOBAL ECOLOGY ESG - M2 EUR QD</t>
  </si>
  <si>
    <t>AF TOTAL HYBRID BOND - M2 EUR QTD</t>
  </si>
  <si>
    <t xml:space="preserve">AF GLOBAL MULTI-ASSET CONSERVATIVE - E2 EUR AD (D) </t>
  </si>
  <si>
    <t>LU2330498085</t>
  </si>
  <si>
    <t>LU2002721459</t>
  </si>
  <si>
    <t>LU2002721962</t>
  </si>
  <si>
    <t>AF EUROPEAN CONVERTIBLE BOND - M2 EUR AD</t>
  </si>
  <si>
    <t>AF GLOBAL CONVERTIBLE BOND - M2 EUR (AD)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</si>
</sst>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  <numFmt numFmtId="167" formatCode="0.0000"/>
    <numFmt numFmtId="168" formatCode="0.000"/>
    <numFmt numFmtId="169" formatCode="_(* #,##0.00_);_(* \(#,##0.00\);_(* &quot;-&quot;??_);_(@_)"/>
    <numFmt numFmtId="170" formatCode="dd/mm/yyyy;@"/>
    <numFmt numFmtId="171" formatCode="d/mm/yyyy;@"/>
    <numFmt numFmtId="172" formatCode="d/m/yyyy;@"/>
    <numFmt numFmtId="173" formatCode="0.00000000000000000000E+00"/>
    <numFmt numFmtId="174" formatCode="_-* #,##0.000\ _€_-;\-* #,##0.000\ _€_-;_-* &quot;-&quot;??\ _€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PIFranklinGothicBookCond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Calibri Light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PIFranklinGothicBookCond"/>
      <family val="0"/>
    </font>
    <font>
      <sz val="10"/>
      <color indexed="10"/>
      <name val="PIFranklinGothicBookCond"/>
      <family val="0"/>
    </font>
    <font>
      <b/>
      <sz val="12"/>
      <color indexed="56"/>
      <name val="Arial"/>
      <family val="2"/>
    </font>
    <font>
      <sz val="12"/>
      <color indexed="8"/>
      <name val="Arial"/>
      <family val="2"/>
    </font>
    <font>
      <b/>
      <sz val="14"/>
      <color indexed="62"/>
      <name val="Calibri"/>
      <family val="2"/>
    </font>
    <font>
      <sz val="8"/>
      <name val="Segoe UI"/>
      <family val="2"/>
    </font>
    <font>
      <b/>
      <sz val="20"/>
      <color indexed="56"/>
      <name val="Arial"/>
      <family val="0"/>
    </font>
    <font>
      <b/>
      <sz val="20"/>
      <color indexed="30"/>
      <name val="Arial"/>
      <family val="0"/>
    </font>
    <font>
      <sz val="20"/>
      <color indexed="56"/>
      <name val="Arial"/>
      <family val="0"/>
    </font>
    <font>
      <b/>
      <sz val="20"/>
      <color indexed="4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 Light"/>
      <family val="2"/>
    </font>
    <font>
      <b/>
      <sz val="14"/>
      <color theme="3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PIFranklinGothicBookCond"/>
      <family val="0"/>
    </font>
    <font>
      <sz val="10"/>
      <color rgb="FFFF0000"/>
      <name val="PIFranklinGothicBookCond"/>
      <family val="0"/>
    </font>
    <font>
      <b/>
      <sz val="12"/>
      <color theme="3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3" tint="0.39998000860214233"/>
      <name val="Calibri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theme="4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800086021423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3" tint="0.5999900102615356"/>
      </left>
      <right>
        <color indexed="63"/>
      </right>
      <top style="thick">
        <color theme="4" tint="0.49998000264167786"/>
      </top>
      <bottom style="thick">
        <color theme="4" tint="0.4999800026416778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4" fillId="0" borderId="0">
      <alignment vertical="top"/>
      <protection/>
    </xf>
    <xf numFmtId="0" fontId="4" fillId="0" borderId="0" applyBorder="0">
      <alignment/>
      <protection/>
    </xf>
    <xf numFmtId="0" fontId="3" fillId="0" borderId="0">
      <alignment vertical="top"/>
      <protection/>
    </xf>
    <xf numFmtId="0" fontId="4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3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6" fillId="41" borderId="1" applyNumberFormat="0" applyAlignment="0" applyProtection="0"/>
    <xf numFmtId="0" fontId="51" fillId="42" borderId="2" applyNumberFormat="0" applyAlignment="0" applyProtection="0"/>
    <xf numFmtId="0" fontId="7" fillId="0" borderId="3" applyNumberFormat="0" applyFill="0" applyAlignment="0" applyProtection="0"/>
    <xf numFmtId="0" fontId="8" fillId="43" borderId="4" applyNumberFormat="0" applyAlignment="0" applyProtection="0"/>
    <xf numFmtId="0" fontId="52" fillId="44" borderId="5" applyNumberFormat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" fillId="50" borderId="6" applyNumberFormat="0" applyFon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1" borderId="2" applyNumberFormat="0" applyAlignment="0" applyProtection="0"/>
    <xf numFmtId="0" fontId="62" fillId="0" borderId="10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52" borderId="0" applyNumberFormat="0" applyBorder="0" applyAlignment="0" applyProtection="0"/>
    <xf numFmtId="0" fontId="9" fillId="53" borderId="0" applyNumberFormat="0" applyBorder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4" fillId="0" borderId="0" applyBorder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4" fillId="0" borderId="0" applyBorder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2" fillId="54" borderId="11" applyNumberFormat="0" applyFont="0" applyAlignment="0" applyProtection="0"/>
    <xf numFmtId="0" fontId="0" fillId="55" borderId="12" applyNumberFormat="0" applyFont="0" applyAlignment="0" applyProtection="0"/>
    <xf numFmtId="0" fontId="0" fillId="55" borderId="12" applyNumberFormat="0" applyFont="0" applyAlignment="0" applyProtection="0"/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 applyBorder="0">
      <alignment/>
      <protection/>
    </xf>
    <xf numFmtId="0" fontId="3" fillId="0" borderId="0">
      <alignment vertical="top"/>
      <protection/>
    </xf>
    <xf numFmtId="0" fontId="2" fillId="0" borderId="0" applyBorder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2" fillId="0" borderId="19" xfId="15" applyFont="1" applyFill="1" applyBorder="1" applyAlignment="1">
      <alignment horizontal="center" vertical="center"/>
      <protection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9" fillId="0" borderId="0" xfId="0" applyFont="1" applyAlignment="1">
      <alignment horizontal="center" vertical="center"/>
    </xf>
    <xf numFmtId="0" fontId="64" fillId="0" borderId="0" xfId="0" applyFont="1" applyFill="1" applyAlignment="1">
      <alignment/>
    </xf>
    <xf numFmtId="0" fontId="69" fillId="0" borderId="0" xfId="0" applyFont="1" applyAlignment="1">
      <alignment horizontal="left" vertical="center"/>
    </xf>
    <xf numFmtId="10" fontId="69" fillId="0" borderId="0" xfId="0" applyNumberFormat="1" applyFont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2" fontId="2" fillId="0" borderId="0" xfId="15" applyNumberFormat="1" applyFont="1" applyFill="1" applyBorder="1" applyAlignment="1">
      <alignment horizontal="center" vertical="center" wrapText="1"/>
      <protection/>
    </xf>
    <xf numFmtId="0" fontId="2" fillId="56" borderId="19" xfId="15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2" fillId="0" borderId="0" xfId="15" applyFont="1" applyFill="1" applyBorder="1" applyAlignment="1">
      <alignment horizontal="left" vertical="center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/>
      <protection/>
    </xf>
    <xf numFmtId="14" fontId="2" fillId="0" borderId="0" xfId="15" applyNumberFormat="1" applyFont="1" applyFill="1" applyBorder="1" applyAlignment="1">
      <alignment horizontal="center" vertical="center" wrapText="1"/>
      <protection/>
    </xf>
    <xf numFmtId="0" fontId="2" fillId="0" borderId="20" xfId="15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Fill="1" applyBorder="1" applyAlignment="1">
      <alignment vertical="center"/>
    </xf>
    <xf numFmtId="0" fontId="2" fillId="7" borderId="20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7" fillId="0" borderId="17" xfId="205" applyAlignment="1">
      <alignment/>
    </xf>
    <xf numFmtId="0" fontId="72" fillId="0" borderId="9" xfId="132" applyFont="1" applyAlignment="1">
      <alignment horizontal="center" vertical="center"/>
    </xf>
    <xf numFmtId="0" fontId="73" fillId="0" borderId="17" xfId="205" applyFont="1" applyAlignment="1">
      <alignment vertical="center"/>
    </xf>
    <xf numFmtId="0" fontId="64" fillId="56" borderId="0" xfId="0" applyFont="1" applyFill="1" applyAlignment="1">
      <alignment/>
    </xf>
    <xf numFmtId="0" fontId="69" fillId="5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56" borderId="0" xfId="0" applyFill="1" applyAlignment="1">
      <alignment/>
    </xf>
    <xf numFmtId="167" fontId="69" fillId="0" borderId="0" xfId="0" applyNumberFormat="1" applyFont="1" applyAlignment="1">
      <alignment vertical="center"/>
    </xf>
    <xf numFmtId="167" fontId="0" fillId="0" borderId="0" xfId="0" applyNumberFormat="1" applyAlignment="1">
      <alignment/>
    </xf>
    <xf numFmtId="0" fontId="2" fillId="56" borderId="20" xfId="15" applyFont="1" applyFill="1" applyBorder="1" applyAlignment="1">
      <alignment horizontal="center" vertical="center"/>
      <protection/>
    </xf>
    <xf numFmtId="0" fontId="2" fillId="0" borderId="24" xfId="15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/>
    </xf>
    <xf numFmtId="0" fontId="64" fillId="7" borderId="20" xfId="0" applyFont="1" applyFill="1" applyBorder="1" applyAlignment="1">
      <alignment horizontal="center" vertical="center"/>
    </xf>
    <xf numFmtId="2" fontId="2" fillId="57" borderId="19" xfId="15" applyNumberFormat="1" applyFont="1" applyFill="1" applyBorder="1" applyAlignment="1">
      <alignment horizontal="center" vertical="center" wrapText="1"/>
      <protection/>
    </xf>
    <xf numFmtId="10" fontId="2" fillId="57" borderId="19" xfId="15" applyNumberFormat="1" applyFont="1" applyFill="1" applyBorder="1" applyAlignment="1">
      <alignment horizontal="center" vertical="center" wrapText="1"/>
      <protection/>
    </xf>
    <xf numFmtId="167" fontId="2" fillId="57" borderId="19" xfId="122" applyNumberFormat="1" applyFont="1" applyFill="1" applyBorder="1" applyAlignment="1">
      <alignment horizontal="center" vertical="center"/>
    </xf>
    <xf numFmtId="0" fontId="2" fillId="57" borderId="19" xfId="15" applyFont="1" applyFill="1" applyBorder="1" applyAlignment="1">
      <alignment horizontal="center" vertical="center" wrapText="1"/>
      <protection/>
    </xf>
    <xf numFmtId="0" fontId="2" fillId="57" borderId="19" xfId="15" applyFont="1" applyFill="1" applyBorder="1" applyAlignment="1">
      <alignment horizontal="center" vertical="center"/>
      <protection/>
    </xf>
    <xf numFmtId="14" fontId="2" fillId="57" borderId="19" xfId="16" applyNumberFormat="1" applyFont="1" applyFill="1" applyBorder="1" applyAlignment="1">
      <alignment horizontal="center" vertical="center"/>
      <protection/>
    </xf>
    <xf numFmtId="14" fontId="2" fillId="57" borderId="19" xfId="15" applyNumberFormat="1" applyFont="1" applyFill="1" applyBorder="1" applyAlignment="1">
      <alignment horizontal="center" vertical="center"/>
      <protection/>
    </xf>
    <xf numFmtId="0" fontId="2" fillId="57" borderId="19" xfId="15" applyFont="1" applyFill="1" applyBorder="1" applyAlignment="1">
      <alignment horizontal="left" vertical="center"/>
      <protection/>
    </xf>
    <xf numFmtId="10" fontId="2" fillId="57" borderId="20" xfId="15" applyNumberFormat="1" applyFont="1" applyFill="1" applyBorder="1" applyAlignment="1">
      <alignment horizontal="center" vertical="center" wrapText="1"/>
      <protection/>
    </xf>
    <xf numFmtId="2" fontId="2" fillId="57" borderId="19" xfId="15" applyNumberFormat="1" applyFont="1" applyFill="1" applyBorder="1" applyAlignment="1">
      <alignment horizontal="center" vertical="center"/>
      <protection/>
    </xf>
    <xf numFmtId="10" fontId="2" fillId="57" borderId="19" xfId="16" applyNumberFormat="1" applyFont="1" applyFill="1" applyBorder="1" applyAlignment="1">
      <alignment horizontal="center" vertical="center"/>
      <protection/>
    </xf>
    <xf numFmtId="168" fontId="2" fillId="57" borderId="19" xfId="122" applyNumberFormat="1" applyFont="1" applyFill="1" applyBorder="1" applyAlignment="1">
      <alignment horizontal="center" vertical="center"/>
    </xf>
    <xf numFmtId="0" fontId="64" fillId="56" borderId="19" xfId="0" applyFont="1" applyFill="1" applyBorder="1" applyAlignment="1">
      <alignment horizontal="center" vertical="center"/>
    </xf>
    <xf numFmtId="14" fontId="64" fillId="56" borderId="19" xfId="0" applyNumberFormat="1" applyFont="1" applyFill="1" applyBorder="1" applyAlignment="1">
      <alignment horizontal="center" vertical="center"/>
    </xf>
    <xf numFmtId="10" fontId="64" fillId="56" borderId="19" xfId="0" applyNumberFormat="1" applyFont="1" applyFill="1" applyBorder="1" applyAlignment="1">
      <alignment horizontal="center" vertical="center"/>
    </xf>
    <xf numFmtId="2" fontId="64" fillId="56" borderId="19" xfId="0" applyNumberFormat="1" applyFont="1" applyFill="1" applyBorder="1" applyAlignment="1">
      <alignment horizontal="center" vertical="center"/>
    </xf>
    <xf numFmtId="167" fontId="2" fillId="56" borderId="19" xfId="122" applyNumberFormat="1" applyFont="1" applyFill="1" applyBorder="1" applyAlignment="1">
      <alignment horizontal="center" vertical="center"/>
    </xf>
    <xf numFmtId="167" fontId="64" fillId="56" borderId="19" xfId="0" applyNumberFormat="1" applyFont="1" applyFill="1" applyBorder="1" applyAlignment="1">
      <alignment horizontal="center" vertical="center"/>
    </xf>
    <xf numFmtId="0" fontId="64" fillId="56" borderId="0" xfId="0" applyFont="1" applyFill="1" applyAlignment="1">
      <alignment vertical="center"/>
    </xf>
    <xf numFmtId="0" fontId="2" fillId="56" borderId="20" xfId="15" applyFont="1" applyFill="1" applyBorder="1" applyAlignment="1">
      <alignment horizontal="center" vertical="center" wrapText="1"/>
      <protection/>
    </xf>
    <xf numFmtId="0" fontId="2" fillId="56" borderId="19" xfId="15" applyFont="1" applyFill="1" applyBorder="1" applyAlignment="1">
      <alignment horizontal="left" vertical="center"/>
      <protection/>
    </xf>
    <xf numFmtId="14" fontId="2" fillId="56" borderId="19" xfId="16" applyNumberFormat="1" applyFont="1" applyFill="1" applyBorder="1" applyAlignment="1">
      <alignment horizontal="center" vertical="center"/>
      <protection/>
    </xf>
    <xf numFmtId="14" fontId="2" fillId="56" borderId="19" xfId="15" applyNumberFormat="1" applyFont="1" applyFill="1" applyBorder="1" applyAlignment="1">
      <alignment horizontal="center" vertical="center"/>
      <protection/>
    </xf>
    <xf numFmtId="10" fontId="2" fillId="56" borderId="19" xfId="15" applyNumberFormat="1" applyFont="1" applyFill="1" applyBorder="1" applyAlignment="1">
      <alignment horizontal="center" vertical="center" wrapText="1"/>
      <protection/>
    </xf>
    <xf numFmtId="0" fontId="2" fillId="56" borderId="19" xfId="15" applyFont="1" applyFill="1" applyBorder="1" applyAlignment="1">
      <alignment horizontal="center" vertical="center" wrapText="1"/>
      <protection/>
    </xf>
    <xf numFmtId="0" fontId="2" fillId="56" borderId="19" xfId="15" applyFont="1" applyFill="1" applyBorder="1" applyAlignment="1">
      <alignment horizontal="left" vertical="center" wrapText="1"/>
      <protection/>
    </xf>
    <xf numFmtId="10" fontId="2" fillId="56" borderId="19" xfId="16" applyNumberFormat="1" applyFont="1" applyFill="1" applyBorder="1" applyAlignment="1">
      <alignment horizontal="center" vertical="center" wrapText="1"/>
      <protection/>
    </xf>
    <xf numFmtId="2" fontId="2" fillId="56" borderId="19" xfId="15" applyNumberFormat="1" applyFont="1" applyFill="1" applyBorder="1" applyAlignment="1">
      <alignment horizontal="center" vertical="center"/>
      <protection/>
    </xf>
    <xf numFmtId="168" fontId="2" fillId="56" borderId="19" xfId="122" applyNumberFormat="1" applyFont="1" applyFill="1" applyBorder="1" applyAlignment="1">
      <alignment horizontal="center" vertical="center"/>
    </xf>
    <xf numFmtId="2" fontId="2" fillId="56" borderId="19" xfId="15" applyNumberFormat="1" applyFont="1" applyFill="1" applyBorder="1" applyAlignment="1">
      <alignment horizontal="center" vertical="center" wrapText="1"/>
      <protection/>
    </xf>
    <xf numFmtId="2" fontId="2" fillId="56" borderId="19" xfId="15" applyNumberFormat="1" applyFont="1" applyFill="1" applyBorder="1" applyAlignment="1">
      <alignment horizontal="left" vertical="center" wrapText="1"/>
      <protection/>
    </xf>
    <xf numFmtId="10" fontId="2" fillId="56" borderId="19" xfId="16" applyNumberFormat="1" applyFont="1" applyFill="1" applyBorder="1" applyAlignment="1">
      <alignment horizontal="center" vertical="center"/>
      <protection/>
    </xf>
    <xf numFmtId="167" fontId="2" fillId="0" borderId="19" xfId="122" applyNumberFormat="1" applyFont="1" applyFill="1" applyBorder="1" applyAlignment="1">
      <alignment horizontal="center" vertical="center"/>
    </xf>
    <xf numFmtId="10" fontId="2" fillId="0" borderId="19" xfId="15" applyNumberFormat="1" applyFont="1" applyFill="1" applyBorder="1" applyAlignment="1">
      <alignment horizontal="center" vertical="center" wrapText="1"/>
      <protection/>
    </xf>
    <xf numFmtId="14" fontId="2" fillId="56" borderId="19" xfId="0" applyNumberFormat="1" applyFont="1" applyFill="1" applyBorder="1" applyAlignment="1">
      <alignment horizontal="center" vertical="center"/>
    </xf>
    <xf numFmtId="0" fontId="2" fillId="0" borderId="19" xfId="15" applyFont="1" applyFill="1" applyBorder="1" applyAlignment="1">
      <alignment horizontal="left" vertical="center"/>
      <protection/>
    </xf>
    <xf numFmtId="14" fontId="2" fillId="0" borderId="19" xfId="15" applyNumberFormat="1" applyFont="1" applyFill="1" applyBorder="1" applyAlignment="1">
      <alignment horizontal="center" vertical="center"/>
      <protection/>
    </xf>
    <xf numFmtId="2" fontId="2" fillId="0" borderId="19" xfId="15" applyNumberFormat="1" applyFont="1" applyFill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center" vertical="center" wrapText="1"/>
      <protection/>
    </xf>
    <xf numFmtId="14" fontId="2" fillId="0" borderId="19" xfId="16" applyNumberFormat="1" applyFont="1" applyFill="1" applyBorder="1" applyAlignment="1">
      <alignment horizontal="center" vertical="center"/>
      <protection/>
    </xf>
    <xf numFmtId="10" fontId="2" fillId="0" borderId="19" xfId="16" applyNumberFormat="1" applyFont="1" applyFill="1" applyBorder="1" applyAlignment="1">
      <alignment horizontal="center" vertical="center"/>
      <protection/>
    </xf>
    <xf numFmtId="168" fontId="2" fillId="0" borderId="19" xfId="122" applyNumberFormat="1" applyFont="1" applyFill="1" applyBorder="1" applyAlignment="1">
      <alignment horizontal="center" vertical="center"/>
    </xf>
    <xf numFmtId="10" fontId="2" fillId="0" borderId="20" xfId="16" applyNumberFormat="1" applyFont="1" applyFill="1" applyBorder="1" applyAlignment="1">
      <alignment horizontal="center" vertical="center" wrapText="1"/>
      <protection/>
    </xf>
    <xf numFmtId="168" fontId="2" fillId="0" borderId="19" xfId="16" applyNumberFormat="1" applyFont="1" applyFill="1" applyBorder="1" applyAlignment="1">
      <alignment horizontal="center" vertical="center" wrapText="1"/>
      <protection/>
    </xf>
    <xf numFmtId="167" fontId="2" fillId="0" borderId="19" xfId="16" applyNumberFormat="1" applyFont="1" applyFill="1" applyBorder="1" applyAlignment="1">
      <alignment horizontal="center" vertical="center" wrapText="1"/>
      <protection/>
    </xf>
    <xf numFmtId="167" fontId="2" fillId="0" borderId="19" xfId="15" applyNumberFormat="1" applyFont="1" applyFill="1" applyBorder="1" applyAlignment="1">
      <alignment horizontal="center" vertical="center" wrapText="1"/>
      <protection/>
    </xf>
    <xf numFmtId="10" fontId="74" fillId="0" borderId="20" xfId="16" applyNumberFormat="1" applyFont="1" applyFill="1" applyBorder="1" applyAlignment="1">
      <alignment horizontal="center" vertical="center" wrapText="1"/>
      <protection/>
    </xf>
    <xf numFmtId="14" fontId="2" fillId="0" borderId="19" xfId="15" applyNumberFormat="1" applyFont="1" applyFill="1" applyBorder="1" applyAlignment="1">
      <alignment horizontal="left" vertical="center" wrapText="1"/>
      <protection/>
    </xf>
    <xf numFmtId="171" fontId="2" fillId="0" borderId="19" xfId="15" applyNumberFormat="1" applyFont="1" applyFill="1" applyBorder="1" applyAlignment="1">
      <alignment horizontal="center" vertical="center" wrapText="1"/>
      <protection/>
    </xf>
    <xf numFmtId="167" fontId="69" fillId="56" borderId="19" xfId="0" applyNumberFormat="1" applyFont="1" applyFill="1" applyBorder="1" applyAlignment="1">
      <alignment horizontal="center" vertical="center"/>
    </xf>
    <xf numFmtId="0" fontId="69" fillId="56" borderId="0" xfId="0" applyFont="1" applyFill="1" applyBorder="1" applyAlignment="1">
      <alignment vertical="center"/>
    </xf>
    <xf numFmtId="0" fontId="70" fillId="56" borderId="0" xfId="0" applyFont="1" applyFill="1" applyAlignment="1">
      <alignment vertical="center"/>
    </xf>
    <xf numFmtId="10" fontId="2" fillId="56" borderId="20" xfId="16" applyNumberFormat="1" applyFont="1" applyFill="1" applyBorder="1" applyAlignment="1">
      <alignment horizontal="center" vertical="center" wrapText="1"/>
      <protection/>
    </xf>
    <xf numFmtId="10" fontId="2" fillId="56" borderId="20" xfId="15" applyNumberFormat="1" applyFont="1" applyFill="1" applyBorder="1" applyAlignment="1">
      <alignment horizontal="center" vertical="center" wrapText="1"/>
      <protection/>
    </xf>
    <xf numFmtId="0" fontId="2" fillId="56" borderId="24" xfId="15" applyFont="1" applyFill="1" applyBorder="1" applyAlignment="1">
      <alignment horizontal="center" vertical="center" wrapText="1"/>
      <protection/>
    </xf>
    <xf numFmtId="0" fontId="2" fillId="56" borderId="19" xfId="0" applyFont="1" applyFill="1" applyBorder="1" applyAlignment="1">
      <alignment horizontal="center" vertical="center"/>
    </xf>
    <xf numFmtId="10" fontId="2" fillId="56" borderId="19" xfId="0" applyNumberFormat="1" applyFont="1" applyFill="1" applyBorder="1" applyAlignment="1">
      <alignment horizontal="center" vertical="center"/>
    </xf>
    <xf numFmtId="167" fontId="2" fillId="56" borderId="19" xfId="0" applyNumberFormat="1" applyFont="1" applyFill="1" applyBorder="1" applyAlignment="1">
      <alignment horizontal="center" vertical="center"/>
    </xf>
    <xf numFmtId="168" fontId="2" fillId="56" borderId="19" xfId="0" applyNumberFormat="1" applyFont="1" applyFill="1" applyBorder="1" applyAlignment="1">
      <alignment horizontal="center" vertical="center"/>
    </xf>
    <xf numFmtId="0" fontId="2" fillId="56" borderId="0" xfId="0" applyFont="1" applyFill="1" applyAlignment="1">
      <alignment vertical="center"/>
    </xf>
    <xf numFmtId="168" fontId="64" fillId="56" borderId="19" xfId="0" applyNumberFormat="1" applyFont="1" applyFill="1" applyBorder="1" applyAlignment="1">
      <alignment horizontal="center" vertical="center"/>
    </xf>
    <xf numFmtId="2" fontId="2" fillId="56" borderId="25" xfId="15" applyNumberFormat="1" applyFont="1" applyFill="1" applyBorder="1" applyAlignment="1">
      <alignment horizontal="center" vertical="center"/>
      <protection/>
    </xf>
    <xf numFmtId="14" fontId="2" fillId="56" borderId="19" xfId="15" applyNumberFormat="1" applyFont="1" applyFill="1" applyBorder="1" applyAlignment="1">
      <alignment horizontal="center" vertical="center" wrapText="1"/>
      <protection/>
    </xf>
    <xf numFmtId="170" fontId="2" fillId="56" borderId="19" xfId="15" applyNumberFormat="1" applyFont="1" applyFill="1" applyBorder="1" applyAlignment="1" quotePrefix="1">
      <alignment horizontal="center" vertical="center" wrapText="1"/>
      <protection/>
    </xf>
    <xf numFmtId="0" fontId="2" fillId="0" borderId="19" xfId="15" applyFont="1" applyFill="1" applyBorder="1" applyAlignment="1">
      <alignment horizontal="left" vertical="center" wrapText="1"/>
      <protection/>
    </xf>
    <xf numFmtId="2" fontId="2" fillId="0" borderId="19" xfId="15" applyNumberFormat="1" applyFont="1" applyFill="1" applyBorder="1" applyAlignment="1">
      <alignment horizontal="center" vertical="center" wrapText="1"/>
      <protection/>
    </xf>
    <xf numFmtId="2" fontId="2" fillId="0" borderId="19" xfId="15" applyNumberFormat="1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/>
    </xf>
    <xf numFmtId="14" fontId="2" fillId="0" borderId="20" xfId="16" applyNumberFormat="1" applyFont="1" applyFill="1" applyBorder="1" applyAlignment="1">
      <alignment horizontal="center" vertical="center" wrapText="1"/>
      <protection/>
    </xf>
    <xf numFmtId="167" fontId="2" fillId="56" borderId="19" xfId="16" applyNumberFormat="1" applyFont="1" applyFill="1" applyBorder="1" applyAlignment="1">
      <alignment horizontal="center" vertical="center" wrapText="1"/>
      <protection/>
    </xf>
    <xf numFmtId="167" fontId="2" fillId="56" borderId="20" xfId="122" applyNumberFormat="1" applyFont="1" applyFill="1" applyBorder="1" applyAlignment="1">
      <alignment horizontal="center" vertical="center"/>
    </xf>
    <xf numFmtId="167" fontId="2" fillId="56" borderId="19" xfId="15" applyNumberFormat="1" applyFont="1" applyFill="1" applyBorder="1" applyAlignment="1">
      <alignment horizontal="center" vertical="center" wrapText="1"/>
      <protection/>
    </xf>
    <xf numFmtId="14" fontId="2" fillId="0" borderId="26" xfId="15" applyNumberFormat="1" applyFont="1" applyFill="1" applyBorder="1" applyAlignment="1">
      <alignment horizontal="center" vertical="center"/>
      <protection/>
    </xf>
    <xf numFmtId="2" fontId="2" fillId="0" borderId="25" xfId="15" applyNumberFormat="1" applyFont="1" applyFill="1" applyBorder="1" applyAlignment="1">
      <alignment horizontal="center" vertical="center"/>
      <protection/>
    </xf>
    <xf numFmtId="0" fontId="2" fillId="58" borderId="19" xfId="15" applyFont="1" applyFill="1" applyBorder="1" applyAlignment="1">
      <alignment horizontal="left" vertical="center"/>
      <protection/>
    </xf>
    <xf numFmtId="0" fontId="2" fillId="58" borderId="19" xfId="15" applyFont="1" applyFill="1" applyBorder="1" applyAlignment="1">
      <alignment horizontal="center" vertical="center"/>
      <protection/>
    </xf>
    <xf numFmtId="14" fontId="2" fillId="56" borderId="27" xfId="16" applyNumberFormat="1" applyFont="1" applyFill="1" applyBorder="1" applyAlignment="1">
      <alignment horizontal="center" vertical="center"/>
      <protection/>
    </xf>
    <xf numFmtId="14" fontId="2" fillId="56" borderId="27" xfId="15" applyNumberFormat="1" applyFont="1" applyFill="1" applyBorder="1" applyAlignment="1">
      <alignment horizontal="center" vertical="center"/>
      <protection/>
    </xf>
    <xf numFmtId="0" fontId="2" fillId="0" borderId="27" xfId="15" applyFont="1" applyFill="1" applyBorder="1" applyAlignment="1">
      <alignment horizontal="left" vertical="center"/>
      <protection/>
    </xf>
    <xf numFmtId="14" fontId="2" fillId="0" borderId="27" xfId="15" applyNumberFormat="1" applyFont="1" applyFill="1" applyBorder="1" applyAlignment="1">
      <alignment horizontal="center" vertical="center"/>
      <protection/>
    </xf>
    <xf numFmtId="2" fontId="2" fillId="0" borderId="27" xfId="15" applyNumberFormat="1" applyFont="1" applyFill="1" applyBorder="1" applyAlignment="1">
      <alignment horizontal="center" vertical="center"/>
      <protection/>
    </xf>
    <xf numFmtId="0" fontId="2" fillId="0" borderId="27" xfId="15" applyFont="1" applyFill="1" applyBorder="1" applyAlignment="1">
      <alignment horizontal="center" vertical="center" wrapText="1"/>
      <protection/>
    </xf>
    <xf numFmtId="0" fontId="2" fillId="0" borderId="27" xfId="15" applyFont="1" applyFill="1" applyBorder="1" applyAlignment="1">
      <alignment horizontal="center" vertical="center"/>
      <protection/>
    </xf>
    <xf numFmtId="10" fontId="2" fillId="0" borderId="20" xfId="15" applyNumberFormat="1" applyFont="1" applyFill="1" applyBorder="1" applyAlignment="1">
      <alignment horizontal="center" vertical="center" wrapText="1"/>
      <protection/>
    </xf>
    <xf numFmtId="9" fontId="2" fillId="56" borderId="19" xfId="176" applyFont="1" applyFill="1" applyBorder="1" applyAlignment="1">
      <alignment horizontal="center" vertical="center"/>
    </xf>
    <xf numFmtId="0" fontId="19" fillId="56" borderId="0" xfId="0" applyFont="1" applyFill="1" applyAlignment="1">
      <alignment vertical="center"/>
    </xf>
    <xf numFmtId="14" fontId="2" fillId="56" borderId="20" xfId="16" applyNumberFormat="1" applyFont="1" applyFill="1" applyBorder="1" applyAlignment="1">
      <alignment horizontal="center" vertical="center" wrapText="1"/>
      <protection/>
    </xf>
    <xf numFmtId="168" fontId="2" fillId="56" borderId="19" xfId="16" applyNumberFormat="1" applyFont="1" applyFill="1" applyBorder="1" applyAlignment="1">
      <alignment horizontal="center" vertical="center" wrapText="1"/>
      <protection/>
    </xf>
    <xf numFmtId="10" fontId="2" fillId="0" borderId="19" xfId="16" applyNumberFormat="1" applyFont="1" applyFill="1" applyBorder="1" applyAlignment="1">
      <alignment horizontal="center" vertical="center" wrapText="1"/>
      <protection/>
    </xf>
    <xf numFmtId="0" fontId="2" fillId="56" borderId="24" xfId="15" applyFont="1" applyFill="1" applyBorder="1" applyAlignment="1">
      <alignment horizontal="center" vertical="center"/>
      <protection/>
    </xf>
    <xf numFmtId="0" fontId="2" fillId="56" borderId="27" xfId="15" applyFont="1" applyFill="1" applyBorder="1" applyAlignment="1">
      <alignment horizontal="left" vertical="center" wrapText="1"/>
      <protection/>
    </xf>
    <xf numFmtId="0" fontId="2" fillId="56" borderId="27" xfId="15" applyFont="1" applyFill="1" applyBorder="1" applyAlignment="1">
      <alignment horizontal="center" vertical="center"/>
      <protection/>
    </xf>
    <xf numFmtId="2" fontId="2" fillId="56" borderId="27" xfId="15" applyNumberFormat="1" applyFont="1" applyFill="1" applyBorder="1" applyAlignment="1">
      <alignment horizontal="left" vertical="center" wrapText="1"/>
      <protection/>
    </xf>
    <xf numFmtId="2" fontId="2" fillId="56" borderId="27" xfId="15" applyNumberFormat="1" applyFont="1" applyFill="1" applyBorder="1" applyAlignment="1">
      <alignment horizontal="center" vertical="center" wrapText="1"/>
      <protection/>
    </xf>
    <xf numFmtId="0" fontId="2" fillId="56" borderId="27" xfId="15" applyFont="1" applyFill="1" applyBorder="1" applyAlignment="1">
      <alignment horizontal="left" vertical="center"/>
      <protection/>
    </xf>
    <xf numFmtId="170" fontId="2" fillId="56" borderId="27" xfId="15" applyNumberFormat="1" applyFont="1" applyFill="1" applyBorder="1" applyAlignment="1" quotePrefix="1">
      <alignment horizontal="center" vertical="center" wrapText="1"/>
      <protection/>
    </xf>
    <xf numFmtId="2" fontId="2" fillId="56" borderId="20" xfId="15" applyNumberFormat="1" applyFont="1" applyFill="1" applyBorder="1" applyAlignment="1">
      <alignment horizontal="center" vertical="center" wrapText="1"/>
      <protection/>
    </xf>
    <xf numFmtId="0" fontId="64" fillId="56" borderId="20" xfId="0" applyFont="1" applyFill="1" applyBorder="1" applyAlignment="1">
      <alignment horizontal="center" vertical="center"/>
    </xf>
    <xf numFmtId="0" fontId="2" fillId="58" borderId="20" xfId="15" applyFont="1" applyFill="1" applyBorder="1" applyAlignment="1">
      <alignment horizontal="center" vertical="center"/>
      <protection/>
    </xf>
    <xf numFmtId="2" fontId="2" fillId="56" borderId="27" xfId="15" applyNumberFormat="1" applyFont="1" applyFill="1" applyBorder="1" applyAlignment="1">
      <alignment horizontal="center" vertical="center"/>
      <protection/>
    </xf>
    <xf numFmtId="0" fontId="2" fillId="56" borderId="27" xfId="15" applyFont="1" applyFill="1" applyBorder="1" applyAlignment="1">
      <alignment horizontal="center" vertical="center" wrapText="1"/>
      <protection/>
    </xf>
    <xf numFmtId="14" fontId="2" fillId="56" borderId="26" xfId="15" applyNumberFormat="1" applyFont="1" applyFill="1" applyBorder="1" applyAlignment="1">
      <alignment horizontal="center" vertical="center"/>
      <protection/>
    </xf>
    <xf numFmtId="0" fontId="38" fillId="56" borderId="0" xfId="0" applyFont="1" applyFill="1" applyAlignment="1">
      <alignment/>
    </xf>
    <xf numFmtId="168" fontId="2" fillId="56" borderId="19" xfId="122" applyNumberFormat="1" applyFont="1" applyFill="1" applyBorder="1" applyAlignment="1">
      <alignment horizontal="center" vertical="center" wrapText="1"/>
    </xf>
    <xf numFmtId="167" fontId="2" fillId="56" borderId="19" xfId="122" applyNumberFormat="1" applyFont="1" applyFill="1" applyBorder="1" applyAlignment="1">
      <alignment horizontal="center" vertical="center" wrapText="1"/>
    </xf>
    <xf numFmtId="167" fontId="2" fillId="59" borderId="19" xfId="122" applyNumberFormat="1" applyFont="1" applyFill="1" applyBorder="1" applyAlignment="1">
      <alignment horizontal="center" vertical="center"/>
    </xf>
    <xf numFmtId="0" fontId="64" fillId="57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59" borderId="19" xfId="15" applyFont="1" applyFill="1" applyBorder="1" applyAlignment="1">
      <alignment horizontal="center" vertical="center" wrapText="1"/>
      <protection/>
    </xf>
    <xf numFmtId="0" fontId="2" fillId="59" borderId="19" xfId="15" applyFont="1" applyFill="1" applyBorder="1" applyAlignment="1">
      <alignment horizontal="center" vertical="center"/>
      <protection/>
    </xf>
    <xf numFmtId="14" fontId="2" fillId="59" borderId="19" xfId="16" applyNumberFormat="1" applyFont="1" applyFill="1" applyBorder="1" applyAlignment="1">
      <alignment horizontal="center" vertical="center"/>
      <protection/>
    </xf>
    <xf numFmtId="14" fontId="2" fillId="59" borderId="19" xfId="15" applyNumberFormat="1" applyFont="1" applyFill="1" applyBorder="1" applyAlignment="1">
      <alignment horizontal="center" vertical="center"/>
      <protection/>
    </xf>
    <xf numFmtId="10" fontId="2" fillId="59" borderId="20" xfId="16" applyNumberFormat="1" applyFont="1" applyFill="1" applyBorder="1" applyAlignment="1">
      <alignment horizontal="center" vertical="center" wrapText="1"/>
      <protection/>
    </xf>
    <xf numFmtId="167" fontId="2" fillId="59" borderId="19" xfId="16" applyNumberFormat="1" applyFont="1" applyFill="1" applyBorder="1" applyAlignment="1">
      <alignment horizontal="center" vertical="center" wrapText="1"/>
      <protection/>
    </xf>
    <xf numFmtId="167" fontId="2" fillId="59" borderId="19" xfId="15" applyNumberFormat="1" applyFont="1" applyFill="1" applyBorder="1" applyAlignment="1">
      <alignment horizontal="center" vertical="center" wrapText="1"/>
      <protection/>
    </xf>
    <xf numFmtId="10" fontId="2" fillId="59" borderId="19" xfId="15" applyNumberFormat="1" applyFont="1" applyFill="1" applyBorder="1" applyAlignment="1">
      <alignment horizontal="center" vertical="center" wrapText="1"/>
      <protection/>
    </xf>
    <xf numFmtId="2" fontId="2" fillId="59" borderId="19" xfId="15" applyNumberFormat="1" applyFont="1" applyFill="1" applyBorder="1" applyAlignment="1">
      <alignment horizontal="left" vertical="center" wrapText="1"/>
      <protection/>
    </xf>
    <xf numFmtId="2" fontId="2" fillId="59" borderId="19" xfId="15" applyNumberFormat="1" applyFont="1" applyFill="1" applyBorder="1" applyAlignment="1">
      <alignment horizontal="center" vertical="center" wrapText="1"/>
      <protection/>
    </xf>
    <xf numFmtId="170" fontId="2" fillId="59" borderId="19" xfId="15" applyNumberFormat="1" applyFont="1" applyFill="1" applyBorder="1" applyAlignment="1" quotePrefix="1">
      <alignment horizontal="center" vertical="center" wrapText="1"/>
      <protection/>
    </xf>
    <xf numFmtId="0" fontId="2" fillId="59" borderId="19" xfId="15" applyFont="1" applyFill="1" applyBorder="1" applyAlignment="1">
      <alignment horizontal="left" vertical="center"/>
      <protection/>
    </xf>
    <xf numFmtId="167" fontId="69" fillId="59" borderId="19" xfId="0" applyNumberFormat="1" applyFont="1" applyFill="1" applyBorder="1" applyAlignment="1">
      <alignment horizontal="center" vertical="center"/>
    </xf>
    <xf numFmtId="167" fontId="2" fillId="56" borderId="19" xfId="176" applyNumberFormat="1" applyFont="1" applyFill="1" applyBorder="1" applyAlignment="1">
      <alignment horizontal="center" vertical="center" wrapText="1"/>
    </xf>
    <xf numFmtId="0" fontId="2" fillId="59" borderId="19" xfId="15" applyFont="1" applyFill="1" applyBorder="1" applyAlignment="1">
      <alignment horizontal="left" vertical="center" wrapText="1"/>
      <protection/>
    </xf>
    <xf numFmtId="10" fontId="2" fillId="59" borderId="19" xfId="16" applyNumberFormat="1" applyFont="1" applyFill="1" applyBorder="1" applyAlignment="1">
      <alignment horizontal="center" vertical="center" wrapText="1"/>
      <protection/>
    </xf>
    <xf numFmtId="0" fontId="64" fillId="56" borderId="0" xfId="0" applyFont="1" applyFill="1" applyBorder="1" applyAlignment="1">
      <alignment/>
    </xf>
    <xf numFmtId="10" fontId="64" fillId="56" borderId="19" xfId="176" applyNumberFormat="1" applyFont="1" applyFill="1" applyBorder="1" applyAlignment="1">
      <alignment horizontal="center" vertical="center"/>
    </xf>
    <xf numFmtId="10" fontId="2" fillId="56" borderId="28" xfId="16" applyNumberFormat="1" applyFont="1" applyFill="1" applyBorder="1" applyAlignment="1">
      <alignment horizontal="center" vertical="center"/>
      <protection/>
    </xf>
    <xf numFmtId="14" fontId="2" fillId="56" borderId="19" xfId="16" applyNumberFormat="1" applyFont="1" applyFill="1" applyBorder="1" applyAlignment="1">
      <alignment horizontal="center" vertical="center" wrapText="1"/>
      <protection/>
    </xf>
    <xf numFmtId="10" fontId="22" fillId="57" borderId="19" xfId="150" applyNumberFormat="1" applyFont="1" applyFill="1" applyBorder="1" applyAlignment="1">
      <alignment horizontal="center" vertical="center"/>
      <protection/>
    </xf>
    <xf numFmtId="49" fontId="22" fillId="57" borderId="19" xfId="150" applyNumberFormat="1" applyFont="1" applyFill="1" applyBorder="1" applyAlignment="1">
      <alignment horizontal="center" vertical="center"/>
      <protection/>
    </xf>
    <xf numFmtId="0" fontId="0" fillId="5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 vertical="center"/>
    </xf>
    <xf numFmtId="0" fontId="68" fillId="56" borderId="0" xfId="0" applyFont="1" applyFill="1" applyAlignment="1">
      <alignment vertical="center"/>
    </xf>
    <xf numFmtId="49" fontId="75" fillId="56" borderId="19" xfId="150" applyNumberFormat="1" applyFont="1" applyFill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49" fontId="22" fillId="56" borderId="19" xfId="150" applyNumberFormat="1" applyFont="1" applyFill="1" applyBorder="1" applyAlignment="1">
      <alignment horizontal="center" vertical="center"/>
      <protection/>
    </xf>
    <xf numFmtId="0" fontId="38" fillId="56" borderId="0" xfId="0" applyFont="1" applyFill="1" applyAlignment="1">
      <alignment vertical="center"/>
    </xf>
    <xf numFmtId="10" fontId="22" fillId="56" borderId="19" xfId="150" applyNumberFormat="1" applyFont="1" applyFill="1" applyBorder="1" applyAlignment="1">
      <alignment horizontal="center" vertical="center"/>
      <protection/>
    </xf>
    <xf numFmtId="168" fontId="38" fillId="56" borderId="0" xfId="0" applyNumberFormat="1" applyFont="1" applyFill="1" applyAlignment="1">
      <alignment vertical="center"/>
    </xf>
    <xf numFmtId="14" fontId="2" fillId="56" borderId="27" xfId="15" applyNumberFormat="1" applyFont="1" applyFill="1" applyBorder="1" applyAlignment="1">
      <alignment horizontal="center" vertical="center" wrapText="1"/>
      <protection/>
    </xf>
    <xf numFmtId="0" fontId="2" fillId="57" borderId="27" xfId="15" applyFont="1" applyFill="1" applyBorder="1" applyAlignment="1">
      <alignment horizontal="left" vertical="center"/>
      <protection/>
    </xf>
    <xf numFmtId="14" fontId="2" fillId="57" borderId="27" xfId="15" applyNumberFormat="1" applyFont="1" applyFill="1" applyBorder="1" applyAlignment="1">
      <alignment horizontal="center" vertical="center"/>
      <protection/>
    </xf>
    <xf numFmtId="2" fontId="2" fillId="57" borderId="27" xfId="15" applyNumberFormat="1" applyFont="1" applyFill="1" applyBorder="1" applyAlignment="1">
      <alignment horizontal="center" vertical="center"/>
      <protection/>
    </xf>
    <xf numFmtId="0" fontId="2" fillId="57" borderId="27" xfId="15" applyFont="1" applyFill="1" applyBorder="1" applyAlignment="1">
      <alignment horizontal="center" vertical="center" wrapText="1"/>
      <protection/>
    </xf>
    <xf numFmtId="0" fontId="2" fillId="57" borderId="27" xfId="15" applyFont="1" applyFill="1" applyBorder="1" applyAlignment="1">
      <alignment horizontal="center" vertical="center"/>
      <protection/>
    </xf>
    <xf numFmtId="168" fontId="2" fillId="57" borderId="19" xfId="12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2" fillId="57" borderId="19" xfId="122" applyNumberFormat="1" applyFont="1" applyFill="1" applyBorder="1" applyAlignment="1">
      <alignment horizontal="center" vertical="center" wrapText="1"/>
    </xf>
    <xf numFmtId="10" fontId="2" fillId="57" borderId="28" xfId="16" applyNumberFormat="1" applyFont="1" applyFill="1" applyBorder="1" applyAlignment="1">
      <alignment horizontal="center" vertical="center"/>
      <protection/>
    </xf>
    <xf numFmtId="14" fontId="2" fillId="57" borderId="19" xfId="16" applyNumberFormat="1" applyFont="1" applyFill="1" applyBorder="1" applyAlignment="1">
      <alignment horizontal="center" vertical="center" wrapText="1"/>
      <protection/>
    </xf>
    <xf numFmtId="0" fontId="2" fillId="57" borderId="19" xfId="15" applyFont="1" applyFill="1" applyBorder="1" applyAlignment="1">
      <alignment horizontal="left" vertical="center" wrapText="1"/>
      <protection/>
    </xf>
    <xf numFmtId="14" fontId="2" fillId="57" borderId="19" xfId="15" applyNumberFormat="1" applyFont="1" applyFill="1" applyBorder="1" applyAlignment="1">
      <alignment horizontal="center" vertical="center" wrapText="1"/>
      <protection/>
    </xf>
    <xf numFmtId="0" fontId="64" fillId="59" borderId="0" xfId="0" applyFont="1" applyFill="1" applyBorder="1" applyAlignment="1">
      <alignment horizontal="center" vertical="center"/>
    </xf>
    <xf numFmtId="0" fontId="2" fillId="58" borderId="0" xfId="15" applyFont="1" applyFill="1" applyBorder="1" applyAlignment="1">
      <alignment horizontal="center" vertical="center"/>
      <protection/>
    </xf>
    <xf numFmtId="0" fontId="2" fillId="56" borderId="0" xfId="15" applyFont="1" applyFill="1" applyBorder="1" applyAlignment="1">
      <alignment horizontal="left" vertical="center"/>
      <protection/>
    </xf>
    <xf numFmtId="10" fontId="76" fillId="56" borderId="19" xfId="150" applyNumberFormat="1" applyFont="1" applyFill="1" applyBorder="1" applyAlignment="1">
      <alignment horizontal="center" vertical="center"/>
      <protection/>
    </xf>
    <xf numFmtId="0" fontId="0" fillId="56" borderId="0" xfId="0" applyFill="1" applyAlignment="1">
      <alignment horizontal="center"/>
    </xf>
    <xf numFmtId="0" fontId="74" fillId="56" borderId="29" xfId="15" applyFont="1" applyFill="1" applyBorder="1" applyAlignment="1">
      <alignment horizontal="left" vertical="center"/>
      <protection/>
    </xf>
    <xf numFmtId="0" fontId="64" fillId="56" borderId="0" xfId="0" applyFont="1" applyFill="1" applyBorder="1" applyAlignment="1">
      <alignment vertical="center"/>
    </xf>
    <xf numFmtId="0" fontId="69" fillId="56" borderId="19" xfId="0" applyFont="1" applyFill="1" applyBorder="1" applyAlignment="1">
      <alignment vertical="center"/>
    </xf>
    <xf numFmtId="170" fontId="2" fillId="0" borderId="19" xfId="15" applyNumberFormat="1" applyFont="1" applyFill="1" applyBorder="1" applyAlignment="1" quotePrefix="1">
      <alignment horizontal="center" vertical="center" wrapText="1"/>
      <protection/>
    </xf>
    <xf numFmtId="168" fontId="77" fillId="0" borderId="30" xfId="131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/>
    </xf>
    <xf numFmtId="168" fontId="79" fillId="60" borderId="31" xfId="131" applyNumberFormat="1" applyFont="1" applyFill="1" applyBorder="1" applyAlignment="1">
      <alignment horizontal="center" vertical="center" wrapText="1"/>
    </xf>
    <xf numFmtId="168" fontId="79" fillId="60" borderId="32" xfId="131" applyNumberFormat="1" applyFont="1" applyFill="1" applyBorder="1" applyAlignment="1">
      <alignment horizontal="center" vertical="center" wrapText="1"/>
    </xf>
    <xf numFmtId="168" fontId="80" fillId="60" borderId="32" xfId="131" applyNumberFormat="1" applyFont="1" applyFill="1" applyBorder="1" applyAlignment="1">
      <alignment horizontal="center" vertical="center" wrapText="1"/>
    </xf>
    <xf numFmtId="168" fontId="80" fillId="60" borderId="33" xfId="131" applyNumberFormat="1" applyFont="1" applyFill="1" applyBorder="1" applyAlignment="1">
      <alignment horizontal="center" vertical="center" wrapText="1"/>
    </xf>
    <xf numFmtId="167" fontId="2" fillId="56" borderId="27" xfId="122" applyNumberFormat="1" applyFont="1" applyFill="1" applyBorder="1" applyAlignment="1">
      <alignment horizontal="center" vertical="center"/>
    </xf>
    <xf numFmtId="168" fontId="80" fillId="61" borderId="31" xfId="131" applyNumberFormat="1" applyFont="1" applyFill="1" applyBorder="1" applyAlignment="1">
      <alignment horizontal="center" vertical="center" wrapText="1"/>
    </xf>
    <xf numFmtId="167" fontId="80" fillId="61" borderId="32" xfId="131" applyNumberFormat="1" applyFont="1" applyFill="1" applyBorder="1" applyAlignment="1">
      <alignment horizontal="center" vertical="center" wrapText="1"/>
    </xf>
    <xf numFmtId="168" fontId="80" fillId="61" borderId="32" xfId="131" applyNumberFormat="1" applyFont="1" applyFill="1" applyBorder="1" applyAlignment="1">
      <alignment horizontal="center" vertical="center" wrapText="1"/>
    </xf>
    <xf numFmtId="0" fontId="64" fillId="56" borderId="19" xfId="0" applyFont="1" applyFill="1" applyBorder="1" applyAlignment="1">
      <alignment horizontal="left" vertical="center"/>
    </xf>
    <xf numFmtId="0" fontId="2" fillId="56" borderId="1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8" fontId="80" fillId="60" borderId="31" xfId="131" applyNumberFormat="1" applyFont="1" applyFill="1" applyBorder="1" applyAlignment="1">
      <alignment horizontal="center" vertical="center" wrapText="1"/>
    </xf>
    <xf numFmtId="14" fontId="2" fillId="56" borderId="19" xfId="15" applyNumberFormat="1" applyFont="1" applyFill="1" applyBorder="1" applyAlignment="1">
      <alignment horizontal="left" vertical="center" wrapText="1"/>
      <protection/>
    </xf>
    <xf numFmtId="171" fontId="2" fillId="56" borderId="19" xfId="15" applyNumberFormat="1" applyFont="1" applyFill="1" applyBorder="1" applyAlignment="1">
      <alignment horizontal="center" vertical="center" wrapText="1"/>
      <protection/>
    </xf>
    <xf numFmtId="0" fontId="64" fillId="62" borderId="19" xfId="0" applyFont="1" applyFill="1" applyBorder="1" applyAlignment="1">
      <alignment horizontal="center" vertical="center"/>
    </xf>
    <xf numFmtId="0" fontId="64" fillId="62" borderId="19" xfId="0" applyFont="1" applyFill="1" applyBorder="1" applyAlignment="1">
      <alignment horizontal="left" vertical="center"/>
    </xf>
    <xf numFmtId="14" fontId="2" fillId="62" borderId="19" xfId="0" applyNumberFormat="1" applyFont="1" applyFill="1" applyBorder="1" applyAlignment="1">
      <alignment horizontal="center" vertical="center"/>
    </xf>
    <xf numFmtId="10" fontId="64" fillId="62" borderId="19" xfId="0" applyNumberFormat="1" applyFont="1" applyFill="1" applyBorder="1" applyAlignment="1">
      <alignment horizontal="center" vertical="center"/>
    </xf>
    <xf numFmtId="168" fontId="64" fillId="62" borderId="19" xfId="0" applyNumberFormat="1" applyFont="1" applyFill="1" applyBorder="1" applyAlignment="1">
      <alignment horizontal="center" vertical="center"/>
    </xf>
    <xf numFmtId="167" fontId="2" fillId="62" borderId="19" xfId="122" applyNumberFormat="1" applyFont="1" applyFill="1" applyBorder="1" applyAlignment="1">
      <alignment horizontal="center" vertical="center"/>
    </xf>
    <xf numFmtId="167" fontId="2" fillId="62" borderId="19" xfId="0" applyNumberFormat="1" applyFont="1" applyFill="1" applyBorder="1" applyAlignment="1">
      <alignment horizontal="center" vertical="center"/>
    </xf>
    <xf numFmtId="14" fontId="64" fillId="62" borderId="19" xfId="0" applyNumberFormat="1" applyFont="1" applyFill="1" applyBorder="1" applyAlignment="1">
      <alignment horizontal="center" vertical="center"/>
    </xf>
    <xf numFmtId="10" fontId="64" fillId="62" borderId="19" xfId="176" applyNumberFormat="1" applyFont="1" applyFill="1" applyBorder="1" applyAlignment="1">
      <alignment horizontal="center" vertical="center"/>
    </xf>
    <xf numFmtId="0" fontId="2" fillId="62" borderId="19" xfId="0" applyFont="1" applyFill="1" applyBorder="1" applyAlignment="1">
      <alignment horizontal="center" vertical="center"/>
    </xf>
    <xf numFmtId="0" fontId="2" fillId="62" borderId="19" xfId="0" applyFont="1" applyFill="1" applyBorder="1" applyAlignment="1">
      <alignment horizontal="left" vertical="center"/>
    </xf>
    <xf numFmtId="10" fontId="2" fillId="62" borderId="19" xfId="0" applyNumberFormat="1" applyFont="1" applyFill="1" applyBorder="1" applyAlignment="1">
      <alignment horizontal="center" vertical="center"/>
    </xf>
    <xf numFmtId="168" fontId="2" fillId="62" borderId="19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2" fillId="56" borderId="0" xfId="15" applyFont="1" applyFill="1" applyBorder="1" applyAlignment="1">
      <alignment horizontal="center" vertical="center"/>
      <protection/>
    </xf>
    <xf numFmtId="14" fontId="2" fillId="56" borderId="27" xfId="16" applyNumberFormat="1" applyFont="1" applyFill="1" applyBorder="1" applyAlignment="1">
      <alignment horizontal="left" vertical="center"/>
      <protection/>
    </xf>
    <xf numFmtId="172" fontId="2" fillId="56" borderId="27" xfId="15" applyNumberFormat="1" applyFont="1" applyFill="1" applyBorder="1" applyAlignment="1">
      <alignment horizontal="center" vertical="center"/>
      <protection/>
    </xf>
    <xf numFmtId="167" fontId="64" fillId="56" borderId="27" xfId="0" applyNumberFormat="1" applyFont="1" applyFill="1" applyBorder="1" applyAlignment="1">
      <alignment horizontal="center" vertical="center"/>
    </xf>
    <xf numFmtId="167" fontId="2" fillId="56" borderId="20" xfId="16" applyNumberFormat="1" applyFont="1" applyFill="1" applyBorder="1" applyAlignment="1">
      <alignment horizontal="center" vertical="center" wrapText="1"/>
      <protection/>
    </xf>
    <xf numFmtId="0" fontId="64" fillId="56" borderId="19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56" borderId="0" xfId="0" applyFont="1" applyFill="1" applyBorder="1" applyAlignment="1">
      <alignment vertical="center"/>
    </xf>
    <xf numFmtId="49" fontId="22" fillId="0" borderId="19" xfId="150" applyNumberFormat="1" applyFont="1" applyFill="1" applyBorder="1" applyAlignment="1">
      <alignment horizontal="center" vertical="center"/>
      <protection/>
    </xf>
    <xf numFmtId="10" fontId="22" fillId="0" borderId="19" xfId="150" applyNumberFormat="1" applyFont="1" applyFill="1" applyBorder="1" applyAlignment="1">
      <alignment horizontal="center" vertical="center"/>
      <protection/>
    </xf>
    <xf numFmtId="168" fontId="2" fillId="0" borderId="19" xfId="122" applyNumberFormat="1" applyFont="1" applyFill="1" applyBorder="1" applyAlignment="1">
      <alignment horizontal="center" vertical="center" wrapText="1"/>
    </xf>
    <xf numFmtId="0" fontId="2" fillId="56" borderId="0" xfId="15" applyFont="1" applyFill="1" applyBorder="1" applyAlignment="1">
      <alignment horizontal="left" vertical="center" wrapText="1"/>
      <protection/>
    </xf>
    <xf numFmtId="0" fontId="0" fillId="56" borderId="19" xfId="0" applyFill="1" applyBorder="1" applyAlignment="1">
      <alignment/>
    </xf>
    <xf numFmtId="0" fontId="0" fillId="56" borderId="0" xfId="0" applyFill="1" applyBorder="1" applyAlignment="1">
      <alignment/>
    </xf>
    <xf numFmtId="173" fontId="0" fillId="56" borderId="0" xfId="0" applyNumberFormat="1" applyFill="1" applyAlignment="1">
      <alignment/>
    </xf>
    <xf numFmtId="0" fontId="64" fillId="56" borderId="19" xfId="0" applyFont="1" applyFill="1" applyBorder="1" applyAlignment="1">
      <alignment horizontal="left" vertical="center" wrapText="1"/>
    </xf>
    <xf numFmtId="0" fontId="64" fillId="56" borderId="0" xfId="0" applyFont="1" applyFill="1" applyBorder="1" applyAlignment="1">
      <alignment horizontal="center" vertical="center"/>
    </xf>
    <xf numFmtId="49" fontId="22" fillId="56" borderId="27" xfId="150" applyNumberFormat="1" applyFont="1" applyFill="1" applyBorder="1" applyAlignment="1">
      <alignment horizontal="center" vertical="center"/>
      <protection/>
    </xf>
    <xf numFmtId="0" fontId="19" fillId="58" borderId="0" xfId="0" applyFont="1" applyFill="1" applyAlignment="1">
      <alignment vertical="center"/>
    </xf>
    <xf numFmtId="0" fontId="81" fillId="63" borderId="34" xfId="0" applyFont="1" applyFill="1" applyBorder="1" applyAlignment="1">
      <alignment horizontal="left" vertical="center"/>
    </xf>
    <xf numFmtId="0" fontId="81" fillId="63" borderId="35" xfId="0" applyFont="1" applyFill="1" applyBorder="1" applyAlignment="1">
      <alignment horizontal="left" vertical="center"/>
    </xf>
    <xf numFmtId="0" fontId="72" fillId="7" borderId="0" xfId="131" applyFont="1" applyFill="1" applyBorder="1" applyAlignment="1">
      <alignment horizontal="center" vertical="center" wrapText="1"/>
    </xf>
    <xf numFmtId="14" fontId="2" fillId="58" borderId="19" xfId="15" applyNumberFormat="1" applyFont="1" applyFill="1" applyBorder="1" applyAlignment="1">
      <alignment horizontal="center" vertical="center"/>
      <protection/>
    </xf>
    <xf numFmtId="2" fontId="2" fillId="58" borderId="19" xfId="15" applyNumberFormat="1" applyFont="1" applyFill="1" applyBorder="1" applyAlignment="1">
      <alignment horizontal="center" vertical="center"/>
      <protection/>
    </xf>
    <xf numFmtId="49" fontId="22" fillId="58" borderId="19" xfId="150" applyNumberFormat="1" applyFont="1" applyFill="1" applyBorder="1" applyAlignment="1">
      <alignment horizontal="center" vertical="center"/>
      <protection/>
    </xf>
    <xf numFmtId="14" fontId="2" fillId="58" borderId="19" xfId="16" applyNumberFormat="1" applyFont="1" applyFill="1" applyBorder="1" applyAlignment="1">
      <alignment horizontal="center" vertical="center"/>
      <protection/>
    </xf>
    <xf numFmtId="10" fontId="22" fillId="58" borderId="19" xfId="150" applyNumberFormat="1" applyFont="1" applyFill="1" applyBorder="1" applyAlignment="1">
      <alignment horizontal="center" vertical="center"/>
      <protection/>
    </xf>
    <xf numFmtId="168" fontId="2" fillId="58" borderId="19" xfId="122" applyNumberFormat="1" applyFont="1" applyFill="1" applyBorder="1" applyAlignment="1">
      <alignment horizontal="center" vertical="center"/>
    </xf>
    <xf numFmtId="10" fontId="2" fillId="58" borderId="19" xfId="15" applyNumberFormat="1" applyFont="1" applyFill="1" applyBorder="1" applyAlignment="1">
      <alignment horizontal="center" vertical="center" wrapText="1"/>
      <protection/>
    </xf>
    <xf numFmtId="0" fontId="2" fillId="58" borderId="19" xfId="15" applyFont="1" applyFill="1" applyBorder="1" applyAlignment="1">
      <alignment horizontal="center" vertical="center" wrapText="1"/>
      <protection/>
    </xf>
    <xf numFmtId="10" fontId="2" fillId="58" borderId="19" xfId="16" applyNumberFormat="1" applyFont="1" applyFill="1" applyBorder="1" applyAlignment="1">
      <alignment horizontal="center" vertical="center"/>
      <protection/>
    </xf>
    <xf numFmtId="167" fontId="2" fillId="58" borderId="19" xfId="122" applyNumberFormat="1" applyFont="1" applyFill="1" applyBorder="1" applyAlignment="1">
      <alignment horizontal="center" vertical="center" wrapText="1"/>
    </xf>
    <xf numFmtId="168" fontId="2" fillId="58" borderId="19" xfId="122" applyNumberFormat="1" applyFont="1" applyFill="1" applyBorder="1" applyAlignment="1">
      <alignment horizontal="center" vertical="center" wrapText="1"/>
    </xf>
  </cellXfs>
  <cellStyles count="196">
    <cellStyle name="Normal" xfId="0"/>
    <cellStyle name="&#10;386grabber=m" xfId="15"/>
    <cellStyle name="&#10;386grabber=m 2" xfId="16"/>
    <cellStyle name="&#10;386grabber=m 2 2" xfId="17"/>
    <cellStyle name="&#10;386grabber=m 2 3" xfId="18"/>
    <cellStyle name="&#10;386grabber=m 2 4" xfId="19"/>
    <cellStyle name="&#10;386grabber=m 3" xfId="20"/>
    <cellStyle name="&#10;386grabber=m 3 2" xfId="21"/>
    <cellStyle name="&#10;386grabber=m 3 3" xfId="22"/>
    <cellStyle name="&#10;386grabber=m 4" xfId="23"/>
    <cellStyle name="&#10;386grabber=m 5" xfId="24"/>
    <cellStyle name="_2011 11 up to FOR ANNUAL RETURN EQUITY" xfId="25"/>
    <cellStyle name="_201202 YTD OC" xfId="26"/>
    <cellStyle name="_CHECK 1 YTD Op expenses breakdown 31122011" xfId="27"/>
    <cellStyle name="_CHECK YTD TER JULY 2011 with performance fees" xfId="28"/>
    <cellStyle name="_Op expenses 31052012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Colore 1 2" xfId="36"/>
    <cellStyle name="20% - Colore 1 2 2" xfId="37"/>
    <cellStyle name="20% - Colore 2 2" xfId="38"/>
    <cellStyle name="20% - Colore 2 2 2" xfId="39"/>
    <cellStyle name="20% - Colore 3 2" xfId="40"/>
    <cellStyle name="20% - Colore 3 2 2" xfId="41"/>
    <cellStyle name="20% - Colore 4 2" xfId="42"/>
    <cellStyle name="20% - Colore 4 2 2" xfId="43"/>
    <cellStyle name="20% - Colore 5 2" xfId="44"/>
    <cellStyle name="20% - Colore 5 2 2" xfId="45"/>
    <cellStyle name="20% - Colore 6 2" xfId="46"/>
    <cellStyle name="20% - Colore 6 2 2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Colore 1 2" xfId="54"/>
    <cellStyle name="40% - Colore 1 2 2" xfId="55"/>
    <cellStyle name="40% - Colore 2 2" xfId="56"/>
    <cellStyle name="40% - Colore 2 2 2" xfId="57"/>
    <cellStyle name="40% - Colore 3 2" xfId="58"/>
    <cellStyle name="40% - Colore 3 2 2" xfId="59"/>
    <cellStyle name="40% - Colore 4 2" xfId="60"/>
    <cellStyle name="40% - Colore 4 2 2" xfId="61"/>
    <cellStyle name="40% - Colore 5 2" xfId="62"/>
    <cellStyle name="40% - Colore 5 2 2" xfId="63"/>
    <cellStyle name="40% - Colore 6 2" xfId="64"/>
    <cellStyle name="40% - Colore 6 2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 2" xfId="72"/>
    <cellStyle name="60% - Colore 2 2" xfId="73"/>
    <cellStyle name="60% - Colore 3 2" xfId="74"/>
    <cellStyle name="60% - Colore 4 2" xfId="75"/>
    <cellStyle name="60% - Colore 5 2" xfId="76"/>
    <cellStyle name="60% - Colore 6 2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olo 2" xfId="85"/>
    <cellStyle name="Calculation" xfId="86"/>
    <cellStyle name="Cella collegata 2" xfId="87"/>
    <cellStyle name="Cella da controllare 2" xfId="88"/>
    <cellStyle name="Check Cell" xfId="89"/>
    <cellStyle name="Colore 1 2" xfId="90"/>
    <cellStyle name="Colore 2 2" xfId="91"/>
    <cellStyle name="Colore 3 2" xfId="92"/>
    <cellStyle name="Colore 4 2" xfId="93"/>
    <cellStyle name="Colore 5 2" xfId="94"/>
    <cellStyle name="Colore 6 2" xfId="95"/>
    <cellStyle name="Comma" xfId="96"/>
    <cellStyle name="Comma [0]" xfId="97"/>
    <cellStyle name="Comma 2" xfId="98"/>
    <cellStyle name="Comma 2 2" xfId="99"/>
    <cellStyle name="Comma 2 2 2" xfId="100"/>
    <cellStyle name="Comma 3" xfId="101"/>
    <cellStyle name="Comma 3 2" xfId="102"/>
    <cellStyle name="Comma 3 2 2" xfId="103"/>
    <cellStyle name="Comma 3 3" xfId="104"/>
    <cellStyle name="Comma 4" xfId="105"/>
    <cellStyle name="Comma 4 2" xfId="106"/>
    <cellStyle name="Comma 4 2 2" xfId="107"/>
    <cellStyle name="Comma 5" xfId="108"/>
    <cellStyle name="Comma 5 2" xfId="109"/>
    <cellStyle name="Comma 5 2 2" xfId="110"/>
    <cellStyle name="Comma 5 3" xfId="111"/>
    <cellStyle name="Comma 5 3 2" xfId="112"/>
    <cellStyle name="Comma 5 3 2 2" xfId="113"/>
    <cellStyle name="Comma 5 3 3" xfId="114"/>
    <cellStyle name="Comma 5 4" xfId="115"/>
    <cellStyle name="Comma 5 4 2" xfId="116"/>
    <cellStyle name="Comma 5 4 2 2" xfId="117"/>
    <cellStyle name="Comma 5 4 3" xfId="118"/>
    <cellStyle name="Comma 5 5" xfId="119"/>
    <cellStyle name="Currency" xfId="120"/>
    <cellStyle name="Currency [0]" xfId="121"/>
    <cellStyle name="Euro" xfId="122"/>
    <cellStyle name="Euro 2" xfId="123"/>
    <cellStyle name="Euro 2 2" xfId="124"/>
    <cellStyle name="Euro 3" xfId="125"/>
    <cellStyle name="Explanatory Text" xfId="126"/>
    <cellStyle name="Followed Hyperlink" xfId="127"/>
    <cellStyle name="Good" xfId="128"/>
    <cellStyle name="header" xfId="129"/>
    <cellStyle name="Heading 1" xfId="130"/>
    <cellStyle name="Heading 2" xfId="131"/>
    <cellStyle name="Heading 3" xfId="132"/>
    <cellStyle name="Heading 4" xfId="133"/>
    <cellStyle name="Hyperlink" xfId="134"/>
    <cellStyle name="Hyperlink 2" xfId="135"/>
    <cellStyle name="Input" xfId="136"/>
    <cellStyle name="Linked Cell" xfId="137"/>
    <cellStyle name="Migliaia 2" xfId="138"/>
    <cellStyle name="Migliaia 2 2" xfId="139"/>
    <cellStyle name="Migliaia 3" xfId="140"/>
    <cellStyle name="Migliaia 3 2" xfId="141"/>
    <cellStyle name="Neutral" xfId="142"/>
    <cellStyle name="Neutrale 2" xfId="143"/>
    <cellStyle name="Normal 10" xfId="144"/>
    <cellStyle name="Normal 2" xfId="145"/>
    <cellStyle name="Normal 2 2" xfId="146"/>
    <cellStyle name="Normal 2 3" xfId="147"/>
    <cellStyle name="Normal 3" xfId="148"/>
    <cellStyle name="Normal 3 2" xfId="149"/>
    <cellStyle name="Normal 3 3" xfId="150"/>
    <cellStyle name="Normal 3 3 2" xfId="151"/>
    <cellStyle name="Normal 4" xfId="152"/>
    <cellStyle name="Normal 4 2" xfId="153"/>
    <cellStyle name="Normal 4 2 2" xfId="154"/>
    <cellStyle name="Normal 4 3" xfId="155"/>
    <cellStyle name="Normal 4 4" xfId="156"/>
    <cellStyle name="Normal 5" xfId="157"/>
    <cellStyle name="Normal 5 2" xfId="158"/>
    <cellStyle name="Normal 5 3" xfId="159"/>
    <cellStyle name="Normal 5 3 2" xfId="160"/>
    <cellStyle name="Normal 6" xfId="161"/>
    <cellStyle name="Normal 6 2" xfId="162"/>
    <cellStyle name="Normal 7" xfId="163"/>
    <cellStyle name="Normal 8" xfId="164"/>
    <cellStyle name="Normal 8 2" xfId="165"/>
    <cellStyle name="Normal 9" xfId="166"/>
    <cellStyle name="Normal 9 2" xfId="167"/>
    <cellStyle name="Normal 9 3" xfId="168"/>
    <cellStyle name="Normal 9 3 2" xfId="169"/>
    <cellStyle name="Normal 9 4" xfId="170"/>
    <cellStyle name="Normal 9 4 2" xfId="171"/>
    <cellStyle name="Nota 2" xfId="172"/>
    <cellStyle name="Note" xfId="173"/>
    <cellStyle name="Note 2" xfId="174"/>
    <cellStyle name="Output" xfId="175"/>
    <cellStyle name="Percent" xfId="176"/>
    <cellStyle name="Percent 2" xfId="177"/>
    <cellStyle name="Percent 2 2" xfId="178"/>
    <cellStyle name="Percent 2 3" xfId="179"/>
    <cellStyle name="Percent 3" xfId="180"/>
    <cellStyle name="Percent 3 2" xfId="181"/>
    <cellStyle name="Percent 3 3" xfId="182"/>
    <cellStyle name="Percent 4" xfId="183"/>
    <cellStyle name="Percent 4 2" xfId="184"/>
    <cellStyle name="Percent 4 3" xfId="185"/>
    <cellStyle name="Percent 4 3 2" xfId="186"/>
    <cellStyle name="Percent 4 4" xfId="187"/>
    <cellStyle name="Percent 4 4 2" xfId="188"/>
    <cellStyle name="Percent 5" xfId="189"/>
    <cellStyle name="Percentuale 2" xfId="190"/>
    <cellStyle name="Stile 1" xfId="191"/>
    <cellStyle name="Style 1" xfId="192"/>
    <cellStyle name="Style 1 2" xfId="193"/>
    <cellStyle name="Style 1 2 2" xfId="194"/>
    <cellStyle name="Style 1 2 3" xfId="195"/>
    <cellStyle name="Style 1 3" xfId="196"/>
    <cellStyle name="Testo avviso 2" xfId="197"/>
    <cellStyle name="Testo descrittivo 2" xfId="198"/>
    <cellStyle name="Title" xfId="199"/>
    <cellStyle name="Titolo 1 2" xfId="200"/>
    <cellStyle name="Titolo 2 2" xfId="201"/>
    <cellStyle name="Titolo 3 2" xfId="202"/>
    <cellStyle name="Titolo 4 2" xfId="203"/>
    <cellStyle name="Titolo 5" xfId="204"/>
    <cellStyle name="Total" xfId="205"/>
    <cellStyle name="Totale 2" xfId="206"/>
    <cellStyle name="Valore non valido 2" xfId="207"/>
    <cellStyle name="Valore valido 2" xfId="208"/>
    <cellStyle name="Warning Text" xfId="209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590550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0</xdr:row>
      <xdr:rowOff>266700</xdr:rowOff>
    </xdr:from>
    <xdr:to>
      <xdr:col>4</xdr:col>
      <xdr:colOff>685800</xdr:colOff>
      <xdr:row>3</xdr:row>
      <xdr:rowOff>190500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000250" y="266700"/>
          <a:ext cx="5781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STACCHI CEDOLA Sicav</a:t>
          </a: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AMUNDI FUNDS
</a:t>
          </a:r>
          <a:r>
            <a:rPr lang="en-US" cap="none" sz="2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classi </a:t>
          </a:r>
          <a:r>
            <a:rPr lang="en-US" cap="none" sz="2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E-E2</a:t>
          </a:r>
          <a:r>
            <a:rPr lang="en-US" cap="none" sz="2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2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F-F2</a:t>
          </a:r>
          <a:r>
            <a:rPr lang="en-US" cap="none" sz="2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2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G-G2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800100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0</xdr:row>
      <xdr:rowOff>257175</xdr:rowOff>
    </xdr:from>
    <xdr:to>
      <xdr:col>5</xdr:col>
      <xdr:colOff>104775</xdr:colOff>
      <xdr:row>3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0225" y="257175"/>
          <a:ext cx="6010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STACCHI CEDOLA Sicav </a:t>
          </a: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AMUNDI FUNDS
</a:t>
          </a:r>
          <a:r>
            <a:rPr lang="en-US" cap="none" sz="2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classi </a:t>
          </a:r>
          <a:r>
            <a:rPr lang="en-US" cap="none" sz="2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M-M2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266700</xdr:rowOff>
    </xdr:from>
    <xdr:to>
      <xdr:col>5</xdr:col>
      <xdr:colOff>1352550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81175" y="266700"/>
          <a:ext cx="8705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STACCHI CEDOLA Fondi</a:t>
          </a: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AMUNDI SOLUZIONI ITALIA </a:t>
          </a: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AMUNDI S.F.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257175</xdr:rowOff>
    </xdr:from>
    <xdr:to>
      <xdr:col>5</xdr:col>
      <xdr:colOff>666750</xdr:colOff>
      <xdr:row>3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52650" y="257175"/>
          <a:ext cx="87058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STACCHI CEDOLA</a:t>
          </a: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Fondi 
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AMUNDI FUNDS SOLUTIONS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0</xdr:row>
      <xdr:rowOff>228600</xdr:rowOff>
    </xdr:from>
    <xdr:to>
      <xdr:col>1</xdr:col>
      <xdr:colOff>2333625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286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2505075</xdr:colOff>
      <xdr:row>0</xdr:row>
      <xdr:rowOff>266700</xdr:rowOff>
    </xdr:from>
    <xdr:to>
      <xdr:col>7</xdr:col>
      <xdr:colOff>866775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76675" y="266700"/>
          <a:ext cx="86391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STACCHI CEDOLA</a:t>
          </a: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Sicav 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FIRST EAGLE AMUNDI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1162050</xdr:colOff>
      <xdr:row>3</xdr:row>
      <xdr:rowOff>161925</xdr:rowOff>
    </xdr:to>
    <xdr:pic>
      <xdr:nvPicPr>
        <xdr:cNvPr id="2" name="Picture 2" descr="cid:image011.png@01D677C9.C8E745A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0"/>
          <a:ext cx="819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0</xdr:row>
      <xdr:rowOff>323850</xdr:rowOff>
    </xdr:from>
    <xdr:to>
      <xdr:col>7</xdr:col>
      <xdr:colOff>733425</xdr:colOff>
      <xdr:row>2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81275" y="323850"/>
          <a:ext cx="869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STACCHI CEDOLA</a:t>
          </a:r>
          <a:r>
            <a:rPr lang="en-US" cap="none" sz="2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Sicav 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CPR INVEST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gerardi\AppData\Local\Microsoft\Windows\INetCache\Content.Outlook\VCRS1NH8\Italian%20Report%20FEA%20Funds%20(Quarterly)%20v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gerardi\AppData\Local\Microsoft\Windows\INetCache\Content.Outlook\N2VJCJ7F\Italian%20Report%20Amundi%20Funds%20Method%20MTI%20QTI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</sheetNames>
    <sheetDataSet>
      <sheetData sheetId="0">
        <row r="2">
          <cell r="A2" t="str">
            <v>LU0878866978</v>
          </cell>
          <cell r="B2" t="str">
            <v>FIRST EAGLE AMUNDI INTERNATIONAL FUND</v>
          </cell>
          <cell r="C2" t="str">
            <v>Class AHS-QD</v>
          </cell>
          <cell r="D2" t="str">
            <v>31.18% Net Income</v>
          </cell>
          <cell r="E2">
            <v>0.6752348845831813</v>
          </cell>
          <cell r="F2">
            <v>0.3058881154168187</v>
          </cell>
          <cell r="G2">
            <v>0.981123</v>
          </cell>
          <cell r="H2" t="str">
            <v>SGD</v>
          </cell>
        </row>
        <row r="3">
          <cell r="A3" t="str">
            <v>LU1332727475</v>
          </cell>
          <cell r="B3" t="str">
            <v>FIRST EAGLE AMUNDI INTERNATIONAL FUND</v>
          </cell>
          <cell r="C3" t="str">
            <v>Class RHS-QD ( D )</v>
          </cell>
          <cell r="D3" t="str">
            <v>32.87% Net Income</v>
          </cell>
          <cell r="E3">
            <v>0.675473283468428</v>
          </cell>
          <cell r="F3">
            <v>0.33068771653157203</v>
          </cell>
          <cell r="G3">
            <v>1.006161</v>
          </cell>
          <cell r="H3" t="str">
            <v>SGD</v>
          </cell>
        </row>
        <row r="4">
          <cell r="A4" t="str">
            <v>LU0565134938</v>
          </cell>
          <cell r="B4" t="str">
            <v>FIRST EAGLE AMUNDI INTERNATIONAL FUND</v>
          </cell>
          <cell r="C4" t="str">
            <v>Class AHE-QD</v>
          </cell>
          <cell r="D4" t="str">
            <v>29.46% Net Income</v>
          </cell>
          <cell r="E4">
            <v>0.6146003891899637</v>
          </cell>
          <cell r="F4">
            <v>0.25673861081003624</v>
          </cell>
          <cell r="G4">
            <v>0.871339</v>
          </cell>
          <cell r="H4" t="str">
            <v>EUR</v>
          </cell>
        </row>
        <row r="5">
          <cell r="A5" t="str">
            <v>LU0565135406</v>
          </cell>
          <cell r="B5" t="str">
            <v>FIRST EAGLE AMUNDI INTERNATIONAL FUND</v>
          </cell>
          <cell r="C5" t="str">
            <v>Class AHG-QD</v>
          </cell>
          <cell r="D5" t="str">
            <v>29.87% Net Income</v>
          </cell>
          <cell r="E5">
            <v>0.6713067595995553</v>
          </cell>
          <cell r="F5">
            <v>0.28590324040044474</v>
          </cell>
          <cell r="G5">
            <v>0.95721</v>
          </cell>
          <cell r="H5" t="str">
            <v>GBP</v>
          </cell>
        </row>
        <row r="6">
          <cell r="A6" t="str">
            <v>LU0565419693</v>
          </cell>
          <cell r="B6" t="str">
            <v>FIRST EAGLE AMUNDI INTERNATIONAL FUND</v>
          </cell>
          <cell r="C6" t="str">
            <v>Class AE-QD</v>
          </cell>
          <cell r="D6" t="str">
            <v>32.67% Net Income</v>
          </cell>
          <cell r="E6">
            <v>0.7938011011498044</v>
          </cell>
          <cell r="F6">
            <v>0.3850938988501957</v>
          </cell>
          <cell r="G6">
            <v>1.178895</v>
          </cell>
          <cell r="H6" t="str">
            <v>EUR</v>
          </cell>
        </row>
        <row r="7">
          <cell r="A7" t="str">
            <v>LU0878867943</v>
          </cell>
          <cell r="B7" t="str">
            <v>FIRST EAGLE AMUNDI INTERNATIONAL FUND</v>
          </cell>
          <cell r="C7" t="str">
            <v>Class RHE-QD</v>
          </cell>
          <cell r="D7" t="str">
            <v>31.56% Net Income</v>
          </cell>
          <cell r="E7">
            <v>0.6418574378202768</v>
          </cell>
          <cell r="F7">
            <v>0.29599856217972326</v>
          </cell>
          <cell r="G7">
            <v>0.937856</v>
          </cell>
          <cell r="H7" t="str">
            <v>EUR</v>
          </cell>
        </row>
        <row r="8">
          <cell r="A8" t="str">
            <v>LU0878867786</v>
          </cell>
          <cell r="B8" t="str">
            <v>FIRST EAGLE AMUNDI INTERNATIONAL FUND</v>
          </cell>
          <cell r="C8" t="str">
            <v>Class RU-QD</v>
          </cell>
          <cell r="D8" t="str">
            <v>34.03% Net Income</v>
          </cell>
          <cell r="E8">
            <v>0.6399316254038226</v>
          </cell>
          <cell r="F8">
            <v>0.3300613745961774</v>
          </cell>
          <cell r="G8">
            <v>0.969993</v>
          </cell>
          <cell r="H8" t="str">
            <v>USD</v>
          </cell>
        </row>
        <row r="9">
          <cell r="A9" t="str">
            <v>LU0878867513</v>
          </cell>
          <cell r="B9" t="str">
            <v>FIRST EAGLE AMUNDI INTERNATIONAL FUND</v>
          </cell>
          <cell r="C9" t="str">
            <v>Class RE-QD</v>
          </cell>
          <cell r="D9" t="str">
            <v>34.32% Net Income</v>
          </cell>
          <cell r="E9">
            <v>0.6228494569079567</v>
          </cell>
          <cell r="F9">
            <v>0.3254935430920434</v>
          </cell>
          <cell r="G9">
            <v>0.948343</v>
          </cell>
          <cell r="H9" t="str">
            <v>EUR</v>
          </cell>
        </row>
        <row r="10">
          <cell r="A10" t="str">
            <v>LU1095739907</v>
          </cell>
          <cell r="B10" t="str">
            <v>FIRST EAGLE AMUNDI INCOME BUILDER FUND</v>
          </cell>
          <cell r="C10" t="str">
            <v>Class AU-QD ( D )</v>
          </cell>
          <cell r="D10" t="str">
            <v>53.39% Net Income</v>
          </cell>
          <cell r="E10">
            <v>0.4921925763417269</v>
          </cell>
          <cell r="F10">
            <v>0.5638594236582731</v>
          </cell>
          <cell r="G10">
            <v>1.056052</v>
          </cell>
          <cell r="H10" t="str">
            <v>USD</v>
          </cell>
        </row>
        <row r="11">
          <cell r="A11" t="str">
            <v>LU1095740319</v>
          </cell>
          <cell r="B11" t="str">
            <v>FIRST EAGLE AMUNDI INCOME BUILDER FUND</v>
          </cell>
          <cell r="C11" t="str">
            <v>Class AHE-QD ( D )</v>
          </cell>
          <cell r="D11" t="str">
            <v>100% Net Income</v>
          </cell>
          <cell r="E11">
            <v>0</v>
          </cell>
          <cell r="F11">
            <v>0.19253443</v>
          </cell>
          <cell r="G11">
            <v>0.19253443</v>
          </cell>
          <cell r="H11" t="str">
            <v>EUR</v>
          </cell>
        </row>
        <row r="12">
          <cell r="A12" t="str">
            <v>LU1095740400</v>
          </cell>
          <cell r="B12" t="str">
            <v>FIRST EAGLE AMUNDI INCOME BUILDER FUND</v>
          </cell>
          <cell r="C12" t="str">
            <v>Class AHG-QD ( D )</v>
          </cell>
          <cell r="D12" t="str">
            <v>51.49% Net Income</v>
          </cell>
          <cell r="E12">
            <v>0.49365596160354436</v>
          </cell>
          <cell r="F12">
            <v>0.5240400383964556</v>
          </cell>
          <cell r="G12">
            <v>1.017696</v>
          </cell>
          <cell r="H12" t="str">
            <v>GBP</v>
          </cell>
        </row>
        <row r="13">
          <cell r="A13" t="str">
            <v>LU2104304311</v>
          </cell>
          <cell r="B13" t="str">
            <v>FIRST EAGLE AMUNDI INCOME BUILDER FUND</v>
          </cell>
          <cell r="C13" t="str">
            <v>Class AHE-QD ( D )</v>
          </cell>
          <cell r="D13" t="str">
            <v>50.38% Net Income</v>
          </cell>
          <cell r="E13">
            <v>0.5840330141479751</v>
          </cell>
          <cell r="F13">
            <v>0.5930259858520249</v>
          </cell>
          <cell r="G13">
            <v>1.177059</v>
          </cell>
          <cell r="H13" t="str">
            <v>EUR</v>
          </cell>
        </row>
        <row r="14">
          <cell r="A14" t="str">
            <v>LU1095739733</v>
          </cell>
          <cell r="B14" t="str">
            <v>FIRST EAGLE AMUNDI INCOME BUILDER FUND</v>
          </cell>
          <cell r="C14" t="str">
            <v>Class AE-QD ( D )</v>
          </cell>
          <cell r="D14" t="str">
            <v>53.39% Net Income</v>
          </cell>
          <cell r="E14">
            <v>0.5390784552283541</v>
          </cell>
          <cell r="F14">
            <v>0.617494544771646</v>
          </cell>
          <cell r="G14">
            <v>1.156573</v>
          </cell>
          <cell r="H14" t="str">
            <v>EUR</v>
          </cell>
        </row>
        <row r="15">
          <cell r="A15" t="str">
            <v>LU1095740665</v>
          </cell>
          <cell r="B15" t="str">
            <v>FIRST EAGLE AMUNDI INCOME BUILDER FUND</v>
          </cell>
          <cell r="C15" t="str">
            <v>Class FE-QD ( D )</v>
          </cell>
          <cell r="D15" t="str">
            <v>52.15% Net Income</v>
          </cell>
          <cell r="E15">
            <v>0.46848136633363724</v>
          </cell>
          <cell r="F15">
            <v>0.5105076336663628</v>
          </cell>
          <cell r="G15">
            <v>0.978989</v>
          </cell>
          <cell r="H15" t="str">
            <v>EUR</v>
          </cell>
        </row>
        <row r="16">
          <cell r="A16" t="str">
            <v>LU1095740749</v>
          </cell>
          <cell r="B16" t="str">
            <v>FIRST EAGLE AMUNDI INCOME BUILDER FUND</v>
          </cell>
          <cell r="C16" t="str">
            <v>Class FHE-QD ( D )</v>
          </cell>
          <cell r="D16" t="str">
            <v>48.03% Net Income</v>
          </cell>
          <cell r="E16">
            <v>0.47752227288008053</v>
          </cell>
          <cell r="F16">
            <v>0.4413417271199195</v>
          </cell>
          <cell r="G16">
            <v>0.918864</v>
          </cell>
          <cell r="H16" t="str">
            <v>EUR</v>
          </cell>
        </row>
        <row r="17">
          <cell r="A17" t="str">
            <v>LU1095741556</v>
          </cell>
          <cell r="B17" t="str">
            <v>FIRST EAGLE AMUNDI INCOME BUILDER FUND</v>
          </cell>
          <cell r="C17" t="str">
            <v>Class IHE-QD ( D )</v>
          </cell>
          <cell r="D17" t="str">
            <v>100% Net Income</v>
          </cell>
          <cell r="E17">
            <v>0</v>
          </cell>
          <cell r="F17">
            <v>9.910357</v>
          </cell>
          <cell r="G17">
            <v>9.910357</v>
          </cell>
          <cell r="H17" t="str">
            <v>EUR</v>
          </cell>
        </row>
        <row r="18">
          <cell r="A18" t="str">
            <v>LU1200996475</v>
          </cell>
          <cell r="B18" t="str">
            <v>FIRST EAGLE AMUNDI INCOME BUILDER FUND</v>
          </cell>
          <cell r="C18" t="str">
            <v>Class IU4-QD ( D )</v>
          </cell>
          <cell r="D18" t="str">
            <v>54.64% Net Income</v>
          </cell>
          <cell r="E18">
            <v>5.274430449656413</v>
          </cell>
          <cell r="F18">
            <v>6.353760550343586</v>
          </cell>
          <cell r="G18">
            <v>11.628191</v>
          </cell>
          <cell r="H18" t="str">
            <v>USD</v>
          </cell>
        </row>
        <row r="19">
          <cell r="A19" t="str">
            <v>LU1095741473</v>
          </cell>
          <cell r="B19" t="str">
            <v>FIRST EAGLE AMUNDI INCOME BUILDER FUND</v>
          </cell>
          <cell r="C19" t="str">
            <v>Class IU-QD ( D )</v>
          </cell>
          <cell r="D19" t="str">
            <v>54.66% Net Income</v>
          </cell>
          <cell r="E19">
            <v>5.024464603824105</v>
          </cell>
          <cell r="F19">
            <v>6.056479396175895</v>
          </cell>
          <cell r="G19">
            <v>11.080944</v>
          </cell>
          <cell r="H19" t="str">
            <v>USD</v>
          </cell>
        </row>
        <row r="20">
          <cell r="A20" t="str">
            <v>LU1820867205</v>
          </cell>
          <cell r="B20" t="str">
            <v>FIRST EAGLE AMUNDI INCOME BUILDER FUND</v>
          </cell>
          <cell r="C20" t="str">
            <v>Class OHE-QD ( D )</v>
          </cell>
          <cell r="D20" t="str">
            <v>100% Net Income</v>
          </cell>
          <cell r="E20">
            <v>0</v>
          </cell>
          <cell r="F20">
            <v>6.43</v>
          </cell>
          <cell r="G20">
            <v>6.43</v>
          </cell>
          <cell r="H20" t="str">
            <v>EUR</v>
          </cell>
        </row>
        <row r="21">
          <cell r="A21" t="str">
            <v>LU1095741127</v>
          </cell>
          <cell r="B21" t="str">
            <v>FIRST EAGLE AMUNDI INCOME BUILDER FUND</v>
          </cell>
          <cell r="C21" t="str">
            <v>Class RHE-QD ( D )</v>
          </cell>
          <cell r="D21" t="str">
            <v>0% Net Income</v>
          </cell>
          <cell r="E21">
            <v>1.073625</v>
          </cell>
          <cell r="F21">
            <v>0</v>
          </cell>
          <cell r="G21">
            <v>1.073625</v>
          </cell>
          <cell r="H21" t="str">
            <v>EUR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</sheetNames>
    <sheetDataSet>
      <sheetData sheetId="0">
        <row r="2">
          <cell r="A2" t="str">
            <v>LU1883311570</v>
          </cell>
          <cell r="B2" t="str">
            <v>AMUNDI FUNDS EUROPEAN EQUITY SUSTAINABLE INCOME</v>
          </cell>
          <cell r="C2" t="str">
            <v>Class A2 EUR MTI (D)</v>
          </cell>
          <cell r="D2" t="str">
            <v>100% Net Income</v>
          </cell>
          <cell r="E2">
            <v>0</v>
          </cell>
          <cell r="F2">
            <v>0.1184</v>
          </cell>
          <cell r="G2">
            <v>0.1184</v>
          </cell>
        </row>
        <row r="3">
          <cell r="A3" t="str">
            <v>LU1883321025</v>
          </cell>
          <cell r="B3" t="str">
            <v>AMUNDI FUNDS GLOBAL EQUITY SUSTAINABLE INCOME</v>
          </cell>
          <cell r="C3" t="str">
            <v>Class A2 EUR MTI (D)</v>
          </cell>
          <cell r="D3" t="str">
            <v>100% Net Income</v>
          </cell>
          <cell r="E3">
            <v>0</v>
          </cell>
          <cell r="F3">
            <v>0.1416</v>
          </cell>
          <cell r="G3">
            <v>0.1416</v>
          </cell>
        </row>
        <row r="4">
          <cell r="A4" t="str">
            <v>LU1883324391</v>
          </cell>
          <cell r="B4" t="str">
            <v>AMUNDI FUNDS GLOBAL EQUITY SUSTAINABLE INCOME</v>
          </cell>
          <cell r="C4" t="str">
            <v>Class R2 EUR MTI (D)</v>
          </cell>
          <cell r="D4" t="str">
            <v>100% Net Income</v>
          </cell>
          <cell r="E4">
            <v>0</v>
          </cell>
          <cell r="F4">
            <v>0.1482</v>
          </cell>
          <cell r="G4">
            <v>0.1482</v>
          </cell>
        </row>
        <row r="5">
          <cell r="A5" t="str">
            <v>LU1883324557</v>
          </cell>
          <cell r="B5" t="str">
            <v>AMUNDI FUNDS GLOBAL EQUITY SUSTAINABLE INCOME</v>
          </cell>
          <cell r="C5" t="str">
            <v>Class R2 GBP MTI (D)</v>
          </cell>
          <cell r="D5" t="str">
            <v>100% Net Income</v>
          </cell>
          <cell r="E5">
            <v>0</v>
          </cell>
          <cell r="F5">
            <v>0.133</v>
          </cell>
          <cell r="G5">
            <v>0.133</v>
          </cell>
        </row>
        <row r="6">
          <cell r="A6" t="str">
            <v>LU1883324631</v>
          </cell>
          <cell r="B6" t="str">
            <v>AMUNDI FUNDS GLOBAL EQUITY SUSTAINABLE INCOME</v>
          </cell>
          <cell r="C6" t="str">
            <v>Class R2 USD MTI (D)</v>
          </cell>
          <cell r="D6" t="str">
            <v>100% Net Income</v>
          </cell>
          <cell r="E6">
            <v>0</v>
          </cell>
          <cell r="F6">
            <v>0.1814</v>
          </cell>
          <cell r="G6">
            <v>0.1814</v>
          </cell>
        </row>
        <row r="7">
          <cell r="A7" t="str">
            <v>LU1883331412</v>
          </cell>
          <cell r="B7" t="str">
            <v>AMUNDI FUNDS GLOBAL MULTI-ASSET TARGET INCOME</v>
          </cell>
          <cell r="C7" t="str">
            <v>Class A2 USD MTI (D)</v>
          </cell>
          <cell r="D7" t="str">
            <v>100% Net Income</v>
          </cell>
          <cell r="E7">
            <v>0</v>
          </cell>
          <cell r="F7">
            <v>0.2101</v>
          </cell>
          <cell r="G7">
            <v>0.2101</v>
          </cell>
        </row>
        <row r="8">
          <cell r="A8" t="str">
            <v>LU1883334192</v>
          </cell>
          <cell r="B8" t="str">
            <v>AMUNDI FUNDS GLOBAL MULTI-ASSET TARGET INCOME</v>
          </cell>
          <cell r="C8" t="str">
            <v>Class R2 USD MTI (D)</v>
          </cell>
          <cell r="D8" t="str">
            <v>100% Net Income</v>
          </cell>
          <cell r="E8">
            <v>0</v>
          </cell>
          <cell r="F8">
            <v>0.1692</v>
          </cell>
          <cell r="G8">
            <v>0.1692</v>
          </cell>
        </row>
        <row r="9">
          <cell r="A9" t="str">
            <v>LU1883866102</v>
          </cell>
          <cell r="B9" t="str">
            <v>AMUNDI FUNDS REAL ASSETS TARGET INCOME</v>
          </cell>
          <cell r="C9" t="str">
            <v>Class A2 EUR HMTI(D)</v>
          </cell>
          <cell r="D9" t="str">
            <v>100% Net Income</v>
          </cell>
          <cell r="E9">
            <v>0</v>
          </cell>
          <cell r="F9">
            <v>0.1991</v>
          </cell>
          <cell r="G9">
            <v>0.1991</v>
          </cell>
        </row>
        <row r="10">
          <cell r="A10" t="str">
            <v>LU1882475129</v>
          </cell>
          <cell r="B10" t="str">
            <v>AMUNDI FUNDS EURO MULTI-ASSET TARGET INCOME</v>
          </cell>
          <cell r="C10" t="str">
            <v>Class A2 CZK HQTI(D)</v>
          </cell>
          <cell r="D10" t="str">
            <v>100% Net Income</v>
          </cell>
          <cell r="E10">
            <v>0</v>
          </cell>
          <cell r="F10">
            <v>7.8475</v>
          </cell>
          <cell r="G10">
            <v>7.8475</v>
          </cell>
        </row>
        <row r="11">
          <cell r="A11" t="str">
            <v>LU1882475475</v>
          </cell>
          <cell r="B11" t="str">
            <v>AMUNDI FUNDS EURO MULTI-ASSET TARGET INCOME</v>
          </cell>
          <cell r="C11" t="str">
            <v>Class A2 EUR QTI (D)</v>
          </cell>
          <cell r="D11" t="str">
            <v>100% Net Income</v>
          </cell>
          <cell r="E11">
            <v>0</v>
          </cell>
          <cell r="F11">
            <v>0.3815</v>
          </cell>
          <cell r="G11">
            <v>0.3815</v>
          </cell>
        </row>
        <row r="12">
          <cell r="A12" t="str">
            <v>LU1882475558</v>
          </cell>
          <cell r="B12" t="str">
            <v>AMUNDI FUNDS EURO MULTI-ASSET TARGET INCOME</v>
          </cell>
          <cell r="C12" t="str">
            <v>Class E2 EUR QTI (D)</v>
          </cell>
          <cell r="D12" t="str">
            <v>100% Net Income</v>
          </cell>
          <cell r="E12">
            <v>0</v>
          </cell>
          <cell r="F12">
            <v>0.0365</v>
          </cell>
          <cell r="G12">
            <v>0.0365</v>
          </cell>
        </row>
        <row r="13">
          <cell r="A13" t="str">
            <v>LU1882475632</v>
          </cell>
          <cell r="B13" t="str">
            <v>AMUNDI FUNDS EURO MULTI-ASSET TARGET INCOME</v>
          </cell>
          <cell r="C13" t="str">
            <v>Class G2 EUR QTI (D)</v>
          </cell>
          <cell r="D13" t="str">
            <v>100% Net Income</v>
          </cell>
          <cell r="E13">
            <v>0</v>
          </cell>
          <cell r="F13">
            <v>0.0362</v>
          </cell>
          <cell r="G13">
            <v>0.0362</v>
          </cell>
        </row>
        <row r="14">
          <cell r="A14" t="str">
            <v>LU1882475715</v>
          </cell>
          <cell r="B14" t="str">
            <v>AMUNDI FUNDS EURO MULTI-ASSET TARGET INCOME</v>
          </cell>
          <cell r="C14" t="str">
            <v>Class M2 EUR QTI (D)</v>
          </cell>
          <cell r="D14" t="str">
            <v>100% Net Income</v>
          </cell>
          <cell r="E14">
            <v>0</v>
          </cell>
          <cell r="F14">
            <v>7.489</v>
          </cell>
          <cell r="G14">
            <v>7.489</v>
          </cell>
        </row>
        <row r="15">
          <cell r="A15" t="str">
            <v>LU1883310846</v>
          </cell>
          <cell r="B15" t="str">
            <v>AMUNDI FUNDS EUROPEAN EQUITY SUSTAINABLE INCOME</v>
          </cell>
          <cell r="C15" t="str">
            <v>Class A2 AUD HQTI(D)</v>
          </cell>
          <cell r="D15" t="str">
            <v>100% Net Income</v>
          </cell>
          <cell r="E15">
            <v>0</v>
          </cell>
          <cell r="F15">
            <v>0.3376</v>
          </cell>
          <cell r="G15">
            <v>0.3376</v>
          </cell>
        </row>
        <row r="16">
          <cell r="A16" t="str">
            <v>LU1883311497</v>
          </cell>
          <cell r="B16" t="str">
            <v>AMUNDI FUNDS EUROPEAN EQUITY SUSTAINABLE INCOME</v>
          </cell>
          <cell r="C16" t="str">
            <v>Class A2 EUR HQTI(D)</v>
          </cell>
          <cell r="D16" t="str">
            <v>100% Net Income</v>
          </cell>
          <cell r="E16">
            <v>0</v>
          </cell>
          <cell r="F16">
            <v>0.3517</v>
          </cell>
          <cell r="G16">
            <v>0.3517</v>
          </cell>
        </row>
        <row r="17">
          <cell r="A17" t="str">
            <v>LU1883311737</v>
          </cell>
          <cell r="B17" t="str">
            <v>AMUNDI FUNDS EUROPEAN EQUITY SUSTAINABLE INCOME</v>
          </cell>
          <cell r="C17" t="str">
            <v>Class A2 SGD HQTI(D)</v>
          </cell>
          <cell r="D17" t="str">
            <v>100% Net Income</v>
          </cell>
          <cell r="E17">
            <v>0</v>
          </cell>
          <cell r="F17">
            <v>0.3294</v>
          </cell>
          <cell r="G17">
            <v>0.3294</v>
          </cell>
        </row>
        <row r="18">
          <cell r="A18" t="str">
            <v>LU1883311810</v>
          </cell>
          <cell r="B18" t="str">
            <v>AMUNDI FUNDS EUROPEAN EQUITY SUSTAINABLE INCOME</v>
          </cell>
          <cell r="C18" t="str">
            <v>Class A2 USD HQTI(D)</v>
          </cell>
          <cell r="D18" t="str">
            <v>100% Net Income</v>
          </cell>
          <cell r="E18">
            <v>0</v>
          </cell>
          <cell r="F18">
            <v>0.3315</v>
          </cell>
          <cell r="G18">
            <v>0.3315</v>
          </cell>
        </row>
        <row r="19">
          <cell r="A19" t="str">
            <v>LU1883320720</v>
          </cell>
          <cell r="B19" t="str">
            <v>AMUNDI FUNDS GLOBAL EQUITY SUSTAINABLE INCOME</v>
          </cell>
          <cell r="C19" t="str">
            <v>Class A2 CZK HQTI(D)</v>
          </cell>
          <cell r="D19" t="str">
            <v>100% Net Income</v>
          </cell>
          <cell r="E19">
            <v>0</v>
          </cell>
          <cell r="F19">
            <v>8.1905</v>
          </cell>
          <cell r="G19">
            <v>8.1905</v>
          </cell>
        </row>
        <row r="20">
          <cell r="A20" t="str">
            <v>LU1883321298</v>
          </cell>
          <cell r="B20" t="str">
            <v>AMUNDI FUNDS GLOBAL EQUITY SUSTAINABLE INCOME</v>
          </cell>
          <cell r="C20" t="str">
            <v>Class A2 EUR QTI (D)</v>
          </cell>
          <cell r="D20" t="str">
            <v>100% Net Income</v>
          </cell>
          <cell r="E20">
            <v>0</v>
          </cell>
          <cell r="F20">
            <v>0.4402</v>
          </cell>
          <cell r="G20">
            <v>0.4402</v>
          </cell>
        </row>
        <row r="21">
          <cell r="A21" t="str">
            <v>LU1883321538</v>
          </cell>
          <cell r="B21" t="str">
            <v>AMUNDI FUNDS GLOBAL EQUITY SUSTAINABLE INCOME</v>
          </cell>
          <cell r="C21" t="str">
            <v>Class A2 USD QTI (D)</v>
          </cell>
          <cell r="D21" t="str">
            <v>100% Net Income</v>
          </cell>
          <cell r="E21">
            <v>0</v>
          </cell>
          <cell r="F21">
            <v>0.5388</v>
          </cell>
          <cell r="G21">
            <v>0.5388</v>
          </cell>
        </row>
        <row r="22">
          <cell r="A22" t="str">
            <v>LU1883321702</v>
          </cell>
          <cell r="B22" t="str">
            <v>AMUNDI FUNDS GLOBAL EQUITY SUSTAINABLE INCOME</v>
          </cell>
          <cell r="C22" t="str">
            <v>Class C USD QTI (D)</v>
          </cell>
          <cell r="D22" t="str">
            <v>100% Net Income</v>
          </cell>
          <cell r="E22">
            <v>0</v>
          </cell>
          <cell r="F22">
            <v>0.4817</v>
          </cell>
          <cell r="G22">
            <v>0.4817</v>
          </cell>
        </row>
        <row r="23">
          <cell r="A23" t="str">
            <v>LU1883321967</v>
          </cell>
          <cell r="B23" t="str">
            <v>AMUNDI FUNDS GLOBAL EQUITY SUSTAINABLE INCOME</v>
          </cell>
          <cell r="C23" t="str">
            <v>Class E2 EUR QTI (D)</v>
          </cell>
          <cell r="D23" t="str">
            <v>100% Net Income</v>
          </cell>
          <cell r="E23">
            <v>0</v>
          </cell>
          <cell r="F23">
            <v>0.0352</v>
          </cell>
          <cell r="G23">
            <v>0.0352</v>
          </cell>
        </row>
        <row r="24">
          <cell r="A24" t="str">
            <v>LU1998915612</v>
          </cell>
          <cell r="B24" t="str">
            <v>AMUNDI FUNDS GLOBAL EQUITY SUSTAINABLE INCOME</v>
          </cell>
          <cell r="C24" t="str">
            <v>Class H EUR QTI (D)</v>
          </cell>
          <cell r="D24" t="str">
            <v>100% Net Income</v>
          </cell>
          <cell r="E24">
            <v>0</v>
          </cell>
          <cell r="F24">
            <v>9.1073</v>
          </cell>
          <cell r="G24">
            <v>9.1073</v>
          </cell>
        </row>
        <row r="25">
          <cell r="A25" t="str">
            <v>LU1883323070</v>
          </cell>
          <cell r="B25" t="str">
            <v>AMUNDI FUNDS GLOBAL EQUITY SUSTAINABLE INCOME</v>
          </cell>
          <cell r="C25" t="str">
            <v>Class I2 EUR QTI (D)</v>
          </cell>
          <cell r="D25" t="str">
            <v>100% Net Income</v>
          </cell>
          <cell r="E25">
            <v>0</v>
          </cell>
          <cell r="F25">
            <v>8.5446</v>
          </cell>
          <cell r="G25">
            <v>8.5446</v>
          </cell>
        </row>
        <row r="26">
          <cell r="A26" t="str">
            <v>LU1883323310</v>
          </cell>
          <cell r="B26" t="str">
            <v>AMUNDI FUNDS GLOBAL EQUITY SUSTAINABLE INCOME</v>
          </cell>
          <cell r="C26" t="str">
            <v>Class M2 EUR HQTI(D)</v>
          </cell>
          <cell r="D26" t="str">
            <v>100% Net Income</v>
          </cell>
          <cell r="E26">
            <v>0</v>
          </cell>
          <cell r="F26">
            <v>7.1856</v>
          </cell>
          <cell r="G26">
            <v>7.1856</v>
          </cell>
        </row>
        <row r="27">
          <cell r="A27" t="str">
            <v>LU1883323740</v>
          </cell>
          <cell r="B27" t="str">
            <v>AMUNDI FUNDS GLOBAL EQUITY SUSTAINABLE INCOME</v>
          </cell>
          <cell r="C27" t="str">
            <v>Class P2 USD QTI (D)</v>
          </cell>
          <cell r="D27" t="str">
            <v>100% Net Income</v>
          </cell>
          <cell r="E27">
            <v>0</v>
          </cell>
          <cell r="F27">
            <v>0.4853</v>
          </cell>
          <cell r="G27">
            <v>0.4853</v>
          </cell>
        </row>
        <row r="28">
          <cell r="A28" t="str">
            <v>LU1883324045</v>
          </cell>
          <cell r="B28" t="str">
            <v>AMUNDI FUNDS GLOBAL EQUITY SUSTAINABLE INCOME</v>
          </cell>
          <cell r="C28" t="str">
            <v>Class Q-D USD QTI(D)</v>
          </cell>
          <cell r="D28" t="str">
            <v>100% Net Income</v>
          </cell>
          <cell r="E28">
            <v>0</v>
          </cell>
          <cell r="F28">
            <v>0.4562</v>
          </cell>
          <cell r="G28">
            <v>0.4562</v>
          </cell>
        </row>
        <row r="29">
          <cell r="A29" t="str">
            <v>LU1883324474</v>
          </cell>
          <cell r="B29" t="str">
            <v>AMUNDI FUNDS GLOBAL EQUITY SUSTAINABLE INCOME</v>
          </cell>
          <cell r="C29" t="str">
            <v>Class R2 EUR QTI (D)</v>
          </cell>
          <cell r="D29" t="str">
            <v>100% Net Income</v>
          </cell>
          <cell r="E29">
            <v>0</v>
          </cell>
          <cell r="F29">
            <v>0.4236</v>
          </cell>
          <cell r="G29">
            <v>0.4236</v>
          </cell>
        </row>
        <row r="30">
          <cell r="A30" t="str">
            <v>LU1883324714</v>
          </cell>
          <cell r="B30" t="str">
            <v>AMUNDI FUNDS GLOBAL EQUITY SUSTAINABLE INCOME</v>
          </cell>
          <cell r="C30" t="str">
            <v>Class R2 USD QTI (D)</v>
          </cell>
          <cell r="D30" t="str">
            <v>100% Net Income</v>
          </cell>
          <cell r="E30">
            <v>0</v>
          </cell>
          <cell r="F30">
            <v>0.4737</v>
          </cell>
          <cell r="G30">
            <v>0.4737</v>
          </cell>
        </row>
        <row r="31">
          <cell r="A31" t="str">
            <v>LU1883330448</v>
          </cell>
          <cell r="B31" t="str">
            <v>AMUNDI FUNDS GLOBAL MULTI-ASSET TARGET INCOME</v>
          </cell>
          <cell r="C31" t="str">
            <v>Class A2 CZK HQTI(D)</v>
          </cell>
          <cell r="D31" t="str">
            <v>100% Net Income</v>
          </cell>
          <cell r="E31">
            <v>0</v>
          </cell>
          <cell r="F31">
            <v>8.0066</v>
          </cell>
          <cell r="G31">
            <v>8.0066</v>
          </cell>
        </row>
        <row r="32">
          <cell r="A32" t="str">
            <v>LU1883330877</v>
          </cell>
          <cell r="B32" t="str">
            <v>AMUNDI FUNDS GLOBAL MULTI-ASSET TARGET INCOME</v>
          </cell>
          <cell r="C32" t="str">
            <v>Class A2 EUR HQTI(D)</v>
          </cell>
          <cell r="D32" t="str">
            <v>100% Net Income</v>
          </cell>
          <cell r="E32">
            <v>0</v>
          </cell>
          <cell r="F32">
            <v>0.3994</v>
          </cell>
          <cell r="G32">
            <v>0.3994</v>
          </cell>
        </row>
        <row r="33">
          <cell r="A33" t="str">
            <v>LU1883330950</v>
          </cell>
          <cell r="B33" t="str">
            <v>AMUNDI FUNDS GLOBAL MULTI-ASSET TARGET INCOME</v>
          </cell>
          <cell r="C33" t="str">
            <v>Class A2 EUR QTI (D)</v>
          </cell>
          <cell r="D33" t="str">
            <v>100% Net Income</v>
          </cell>
          <cell r="E33">
            <v>0</v>
          </cell>
          <cell r="F33">
            <v>0.4844</v>
          </cell>
          <cell r="G33">
            <v>0.4844</v>
          </cell>
        </row>
        <row r="34">
          <cell r="A34" t="str">
            <v>LU1883331099</v>
          </cell>
          <cell r="B34" t="str">
            <v>AMUNDI FUNDS GLOBAL MULTI-ASSET TARGET INCOME</v>
          </cell>
          <cell r="C34" t="str">
            <v>Class A2 HUF HQTI(D)</v>
          </cell>
          <cell r="D34" t="str">
            <v>100% Net Income</v>
          </cell>
          <cell r="E34">
            <v>0</v>
          </cell>
          <cell r="F34">
            <v>92.3282</v>
          </cell>
          <cell r="G34">
            <v>92.3282</v>
          </cell>
        </row>
        <row r="35">
          <cell r="A35" t="str">
            <v>LU1883331503</v>
          </cell>
          <cell r="B35" t="str">
            <v>AMUNDI FUNDS GLOBAL MULTI-ASSET TARGET INCOME</v>
          </cell>
          <cell r="C35" t="str">
            <v>Class A2 USD QTI (D)</v>
          </cell>
          <cell r="D35" t="str">
            <v>100% Net Income</v>
          </cell>
          <cell r="E35">
            <v>0</v>
          </cell>
          <cell r="F35">
            <v>0.593</v>
          </cell>
          <cell r="G35">
            <v>0.593</v>
          </cell>
        </row>
        <row r="36">
          <cell r="A36" t="str">
            <v>LU1883331768</v>
          </cell>
          <cell r="B36" t="str">
            <v>AMUNDI FUNDS GLOBAL MULTI-ASSET TARGET INCOME</v>
          </cell>
          <cell r="C36" t="str">
            <v>Class C USD QTI (D)</v>
          </cell>
          <cell r="D36" t="str">
            <v>100% Net Income</v>
          </cell>
          <cell r="E36">
            <v>0</v>
          </cell>
          <cell r="F36">
            <v>0.4185</v>
          </cell>
          <cell r="G36">
            <v>0.4185</v>
          </cell>
        </row>
        <row r="37">
          <cell r="A37" t="str">
            <v>LU1883332063</v>
          </cell>
          <cell r="B37" t="str">
            <v>AMUNDI FUNDS GLOBAL MULTI-ASSET TARGET INCOME</v>
          </cell>
          <cell r="C37" t="str">
            <v>Class E2 EUR QTI (D)</v>
          </cell>
          <cell r="D37" t="str">
            <v>100% Net Income</v>
          </cell>
          <cell r="E37">
            <v>0</v>
          </cell>
          <cell r="F37">
            <v>0.0483</v>
          </cell>
          <cell r="G37">
            <v>0.0483</v>
          </cell>
        </row>
        <row r="38">
          <cell r="A38" t="str">
            <v>LU1883332576</v>
          </cell>
          <cell r="B38" t="str">
            <v>AMUNDI FUNDS GLOBAL MULTI-ASSET TARGET INCOME</v>
          </cell>
          <cell r="C38" t="str">
            <v>Class G2 EUR HQTI(D)</v>
          </cell>
          <cell r="D38" t="str">
            <v>100% Net Income</v>
          </cell>
          <cell r="E38">
            <v>0</v>
          </cell>
          <cell r="F38">
            <v>0.0448</v>
          </cell>
          <cell r="G38">
            <v>0.0448</v>
          </cell>
        </row>
        <row r="39">
          <cell r="A39" t="str">
            <v>LU1883333384</v>
          </cell>
          <cell r="B39" t="str">
            <v>AMUNDI FUNDS GLOBAL MULTI-ASSET TARGET INCOME</v>
          </cell>
          <cell r="C39" t="str">
            <v>Class P2 USD QTI (D)</v>
          </cell>
          <cell r="D39" t="str">
            <v>100% Net Income</v>
          </cell>
          <cell r="E39">
            <v>0</v>
          </cell>
          <cell r="F39">
            <v>0.5174</v>
          </cell>
          <cell r="G39">
            <v>0.5174</v>
          </cell>
        </row>
        <row r="40">
          <cell r="A40" t="str">
            <v>LU1883333467</v>
          </cell>
          <cell r="B40" t="str">
            <v>AMUNDI FUNDS GLOBAL MULTI-ASSET TARGET INCOME</v>
          </cell>
          <cell r="C40" t="str">
            <v>Class Q-D USD QTI(D)</v>
          </cell>
          <cell r="D40" t="str">
            <v>100% Net Income</v>
          </cell>
          <cell r="E40">
            <v>0</v>
          </cell>
          <cell r="F40">
            <v>0.4297</v>
          </cell>
          <cell r="G40">
            <v>0.4297</v>
          </cell>
        </row>
        <row r="41">
          <cell r="A41" t="str">
            <v>LU1883333624</v>
          </cell>
          <cell r="B41" t="str">
            <v>AMUNDI FUNDS GLOBAL MULTI-ASSET TARGET INCOME</v>
          </cell>
          <cell r="C41" t="str">
            <v>Class R2 EUR HQTI(D)</v>
          </cell>
          <cell r="D41" t="str">
            <v>100% Net Income</v>
          </cell>
          <cell r="E41">
            <v>0</v>
          </cell>
          <cell r="F41">
            <v>0.464</v>
          </cell>
          <cell r="G41">
            <v>0.464</v>
          </cell>
        </row>
        <row r="42">
          <cell r="A42" t="str">
            <v>LU1883333897</v>
          </cell>
          <cell r="B42" t="str">
            <v>AMUNDI FUNDS GLOBAL MULTI-ASSET TARGET INCOME</v>
          </cell>
          <cell r="C42" t="str">
            <v>Class R2 EUR QTI (D)</v>
          </cell>
          <cell r="D42" t="str">
            <v>100% Net Income</v>
          </cell>
          <cell r="E42">
            <v>0</v>
          </cell>
          <cell r="F42">
            <v>0.4938</v>
          </cell>
          <cell r="G42">
            <v>0.4938</v>
          </cell>
        </row>
        <row r="43">
          <cell r="A43" t="str">
            <v>LU1883331172</v>
          </cell>
          <cell r="B43" t="str">
            <v>AMUNDI FUNDS GLOBAL MULTI-ASSET TARGET INCOME</v>
          </cell>
          <cell r="C43" t="str">
            <v>Class R2 USD QTI (D)</v>
          </cell>
          <cell r="D43" t="str">
            <v>100% Net Income</v>
          </cell>
          <cell r="E43">
            <v>0</v>
          </cell>
          <cell r="F43">
            <v>0.511</v>
          </cell>
          <cell r="G43">
            <v>0.511</v>
          </cell>
        </row>
        <row r="44">
          <cell r="A44" t="str">
            <v>LU1883839711</v>
          </cell>
          <cell r="B44" t="str">
            <v>AMUNDI FUNDS PIONEER INCOME OPPORTUNITIES</v>
          </cell>
          <cell r="C44" t="str">
            <v>Class E2 EUR HQTI(D)</v>
          </cell>
          <cell r="D44" t="str">
            <v>100% Net Income</v>
          </cell>
          <cell r="E44">
            <v>0</v>
          </cell>
          <cell r="F44">
            <v>0.0361</v>
          </cell>
          <cell r="G44">
            <v>0.0361</v>
          </cell>
        </row>
        <row r="45">
          <cell r="A45" t="str">
            <v>LU1894681300</v>
          </cell>
          <cell r="B45" t="str">
            <v>AMUNDI FUNDS PIONEER INCOME OPPORTUNITIES</v>
          </cell>
          <cell r="C45" t="str">
            <v>Class E2 EURPHQTI(D)</v>
          </cell>
          <cell r="D45" t="str">
            <v>100% Net Income</v>
          </cell>
          <cell r="E45">
            <v>0</v>
          </cell>
          <cell r="F45">
            <v>0.0456</v>
          </cell>
          <cell r="G45">
            <v>0.0456</v>
          </cell>
        </row>
        <row r="46">
          <cell r="A46" t="str">
            <v>LU1883839802</v>
          </cell>
          <cell r="B46" t="str">
            <v>AMUNDI FUNDS PIONEER INCOME OPPORTUNITIES</v>
          </cell>
          <cell r="C46" t="str">
            <v>Class E2 EUR QTI (D)</v>
          </cell>
          <cell r="D46" t="str">
            <v>100% Net Income</v>
          </cell>
          <cell r="E46">
            <v>0</v>
          </cell>
          <cell r="F46">
            <v>0.052</v>
          </cell>
          <cell r="G46">
            <v>0.052</v>
          </cell>
        </row>
        <row r="47">
          <cell r="A47" t="str">
            <v>LU1883840131</v>
          </cell>
          <cell r="B47" t="str">
            <v>AMUNDI FUNDS PIONEER INCOME OPPORTUNITIES</v>
          </cell>
          <cell r="C47" t="str">
            <v>Class G EUR HQTI (D)</v>
          </cell>
          <cell r="D47" t="str">
            <v>100% Net Income</v>
          </cell>
          <cell r="E47">
            <v>0</v>
          </cell>
          <cell r="F47">
            <v>0.0358</v>
          </cell>
          <cell r="G47">
            <v>0.0358</v>
          </cell>
        </row>
        <row r="48">
          <cell r="A48" t="str">
            <v>LU1894681482</v>
          </cell>
          <cell r="B48" t="str">
            <v>AMUNDI FUNDS PIONEER INCOME OPPORTUNITIES</v>
          </cell>
          <cell r="C48" t="str">
            <v>Class G EUR PHQTI(D)</v>
          </cell>
          <cell r="D48" t="str">
            <v>100% Net Income</v>
          </cell>
          <cell r="E48">
            <v>0</v>
          </cell>
          <cell r="F48">
            <v>0.0451</v>
          </cell>
          <cell r="G48">
            <v>0.0451</v>
          </cell>
        </row>
        <row r="49">
          <cell r="A49" t="str">
            <v>LU1883840214</v>
          </cell>
          <cell r="B49" t="str">
            <v>AMUNDI FUNDS PIONEER INCOME OPPORTUNITIES</v>
          </cell>
          <cell r="C49" t="str">
            <v>Class G EUR QTI (D)</v>
          </cell>
          <cell r="D49" t="str">
            <v>100% Net Income</v>
          </cell>
          <cell r="E49">
            <v>0</v>
          </cell>
          <cell r="F49">
            <v>0.0514</v>
          </cell>
          <cell r="G49">
            <v>0.0514</v>
          </cell>
        </row>
        <row r="50">
          <cell r="A50" t="str">
            <v>LU2110862112</v>
          </cell>
          <cell r="B50" t="str">
            <v>AMUNDI FUNDS PIONEER INCOME OPPORTUNITIES</v>
          </cell>
          <cell r="C50" t="str">
            <v>Class I3 USD QTI (D)</v>
          </cell>
          <cell r="D50" t="str">
            <v>100% Net Income</v>
          </cell>
          <cell r="E50">
            <v>0</v>
          </cell>
          <cell r="F50">
            <v>15.3506</v>
          </cell>
          <cell r="G50">
            <v>15.3506</v>
          </cell>
        </row>
        <row r="51">
          <cell r="A51" t="str">
            <v>LU1883866284</v>
          </cell>
          <cell r="B51" t="str">
            <v>AMUNDI FUNDS REAL ASSETS TARGET INCOME</v>
          </cell>
          <cell r="C51" t="str">
            <v>Class A2 EUR HQTI(D)</v>
          </cell>
          <cell r="D51" t="str">
            <v>100% Net Income</v>
          </cell>
          <cell r="E51">
            <v>0</v>
          </cell>
          <cell r="F51">
            <v>0.5987</v>
          </cell>
          <cell r="G51">
            <v>0.5987</v>
          </cell>
        </row>
        <row r="52">
          <cell r="A52" t="str">
            <v>LU1883866367</v>
          </cell>
          <cell r="B52" t="str">
            <v>AMUNDI FUNDS REAL ASSETS TARGET INCOME</v>
          </cell>
          <cell r="C52" t="str">
            <v>Class A2 EUR QTI (D)</v>
          </cell>
          <cell r="D52" t="str">
            <v>100% Net Income</v>
          </cell>
          <cell r="E52">
            <v>0</v>
          </cell>
          <cell r="F52">
            <v>0.4575</v>
          </cell>
          <cell r="G52">
            <v>0.4575</v>
          </cell>
        </row>
        <row r="53">
          <cell r="A53" t="str">
            <v>LU1883866524</v>
          </cell>
          <cell r="B53" t="str">
            <v>AMUNDI FUNDS REAL ASSETS TARGET INCOME</v>
          </cell>
          <cell r="C53" t="str">
            <v>Class A2 USD QTI (D)</v>
          </cell>
          <cell r="D53" t="str">
            <v>100% Net Income</v>
          </cell>
          <cell r="E53">
            <v>0</v>
          </cell>
          <cell r="F53">
            <v>0.56</v>
          </cell>
          <cell r="G53">
            <v>0.56</v>
          </cell>
        </row>
        <row r="54">
          <cell r="A54" t="str">
            <v>LU1883867258</v>
          </cell>
          <cell r="B54" t="str">
            <v>AMUNDI FUNDS REAL ASSETS TARGET INCOME</v>
          </cell>
          <cell r="C54" t="str">
            <v>Class G2 EUR HQTI(D)</v>
          </cell>
          <cell r="D54" t="str">
            <v>100% Net Income</v>
          </cell>
          <cell r="E54">
            <v>0</v>
          </cell>
          <cell r="F54">
            <v>0.0589</v>
          </cell>
          <cell r="G54">
            <v>0.0589</v>
          </cell>
        </row>
        <row r="55">
          <cell r="A55" t="str">
            <v>LU1883867415</v>
          </cell>
          <cell r="B55" t="str">
            <v>AMUNDI FUNDS REAL ASSETS TARGET INCOME</v>
          </cell>
          <cell r="C55" t="str">
            <v>Class I2 EUR HQTI(D)</v>
          </cell>
          <cell r="D55" t="str">
            <v>100% Net Income</v>
          </cell>
          <cell r="E55">
            <v>0</v>
          </cell>
          <cell r="F55">
            <v>12.4337</v>
          </cell>
          <cell r="G55">
            <v>12.4337</v>
          </cell>
        </row>
        <row r="56">
          <cell r="A56" t="str">
            <v>LU2085675606</v>
          </cell>
          <cell r="B56" t="str">
            <v>AMUNDI FUNDS REAL ASSETS TARGET INCOME</v>
          </cell>
          <cell r="C56" t="str">
            <v>Class Z USD QTI (D)</v>
          </cell>
          <cell r="D56" t="str">
            <v>100% Net Income</v>
          </cell>
          <cell r="E56">
            <v>0</v>
          </cell>
          <cell r="F56">
            <v>13.8707</v>
          </cell>
          <cell r="G56">
            <v>13.8707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3"/>
  <sheetViews>
    <sheetView zoomScalePageLayoutView="0" workbookViewId="0" topLeftCell="A7">
      <selection activeCell="A13" sqref="A13"/>
    </sheetView>
  </sheetViews>
  <sheetFormatPr defaultColWidth="9.140625" defaultRowHeight="15"/>
  <cols>
    <col min="1" max="1" width="18.57421875" style="0" customWidth="1"/>
    <col min="2" max="2" width="38.421875" style="0" customWidth="1"/>
    <col min="3" max="3" width="72.57421875" style="0" customWidth="1"/>
  </cols>
  <sheetData>
    <row r="1" spans="1:3" ht="27" customHeight="1">
      <c r="A1" s="256" t="s">
        <v>270</v>
      </c>
      <c r="B1" s="256"/>
      <c r="C1" s="256"/>
    </row>
    <row r="2" spans="1:3" ht="27" customHeight="1" thickBot="1">
      <c r="A2" s="26"/>
      <c r="B2" s="28" t="s">
        <v>252</v>
      </c>
      <c r="C2" s="28" t="s">
        <v>253</v>
      </c>
    </row>
    <row r="3" spans="1:3" ht="37.5" customHeight="1" thickBot="1" thickTop="1">
      <c r="A3" s="27" t="s">
        <v>251</v>
      </c>
      <c r="B3" s="32" t="s">
        <v>254</v>
      </c>
      <c r="C3" s="31" t="s">
        <v>255</v>
      </c>
    </row>
    <row r="4" spans="1:3" ht="37.5" customHeight="1" thickBot="1">
      <c r="A4" s="27" t="s">
        <v>248</v>
      </c>
      <c r="B4" s="36" t="s">
        <v>7</v>
      </c>
      <c r="C4" s="35" t="s">
        <v>256</v>
      </c>
    </row>
    <row r="5" spans="1:3" ht="37.5" customHeight="1" thickBot="1">
      <c r="A5" s="27" t="s">
        <v>249</v>
      </c>
      <c r="B5" s="36" t="s">
        <v>7</v>
      </c>
      <c r="C5" s="35" t="s">
        <v>256</v>
      </c>
    </row>
    <row r="6" spans="1:3" ht="37.5" customHeight="1" thickBot="1">
      <c r="A6" s="27" t="s">
        <v>250</v>
      </c>
      <c r="B6" s="34" t="s">
        <v>287</v>
      </c>
      <c r="C6" s="35" t="s">
        <v>257</v>
      </c>
    </row>
    <row r="7" spans="1:3" ht="37.5" customHeight="1" thickBot="1">
      <c r="A7" s="27" t="s">
        <v>288</v>
      </c>
      <c r="B7" s="34" t="s">
        <v>4</v>
      </c>
      <c r="C7" s="35" t="s">
        <v>289</v>
      </c>
    </row>
    <row r="9" spans="1:3" ht="15.75" thickBot="1">
      <c r="A9" s="20"/>
      <c r="B9" s="20"/>
      <c r="C9" s="20"/>
    </row>
    <row r="10" spans="1:3" ht="27" customHeight="1">
      <c r="A10" s="257" t="s">
        <v>271</v>
      </c>
      <c r="B10" s="257"/>
      <c r="C10" s="257"/>
    </row>
    <row r="11" spans="1:3" ht="27" customHeight="1" thickBot="1">
      <c r="A11" s="26"/>
      <c r="B11" s="28" t="s">
        <v>252</v>
      </c>
      <c r="C11" s="28" t="s">
        <v>253</v>
      </c>
    </row>
    <row r="12" spans="1:3" ht="37.5" customHeight="1" thickBot="1" thickTop="1">
      <c r="A12" s="27" t="s">
        <v>247</v>
      </c>
      <c r="B12" s="32" t="s">
        <v>7</v>
      </c>
      <c r="C12" s="33" t="s">
        <v>269</v>
      </c>
    </row>
    <row r="13" spans="1:3" ht="37.5" customHeight="1" thickBot="1">
      <c r="A13" s="27" t="s">
        <v>416</v>
      </c>
      <c r="B13" s="34" t="s">
        <v>7</v>
      </c>
      <c r="C13" s="35" t="s">
        <v>289</v>
      </c>
    </row>
  </sheetData>
  <sheetProtection/>
  <mergeCells count="2">
    <mergeCell ref="A1:C1"/>
    <mergeCell ref="A10:C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R1272"/>
  <sheetViews>
    <sheetView zoomScale="80" zoomScaleNormal="80" zoomScalePageLayoutView="0" workbookViewId="0" topLeftCell="B1">
      <pane ySplit="5" topLeftCell="A1037" activePane="bottomLeft" state="frozen"/>
      <selection pane="topLeft" activeCell="D1" sqref="D1"/>
      <selection pane="bottomLeft" activeCell="C1039" sqref="C1039"/>
    </sheetView>
  </sheetViews>
  <sheetFormatPr defaultColWidth="17.57421875" defaultRowHeight="23.25" customHeight="1"/>
  <cols>
    <col min="1" max="1" width="19.00390625" style="3" hidden="1" customWidth="1"/>
    <col min="2" max="2" width="18.8515625" style="5" customWidth="1"/>
    <col min="3" max="3" width="70.421875" style="7" customWidth="1"/>
    <col min="4" max="4" width="17.140625" style="5" customWidth="1"/>
    <col min="5" max="5" width="18.421875" style="2" customWidth="1"/>
    <col min="6" max="6" width="18.421875" style="5" customWidth="1"/>
    <col min="7" max="7" width="18.421875" style="2" customWidth="1"/>
    <col min="8" max="8" width="15.421875" style="2" customWidth="1"/>
    <col min="9" max="9" width="16.421875" style="38" customWidth="1"/>
    <col min="10" max="13" width="13.57421875" style="38" customWidth="1"/>
    <col min="14" max="14" width="19.8515625" style="8" customWidth="1"/>
    <col min="15" max="16384" width="17.57421875" style="3" customWidth="1"/>
  </cols>
  <sheetData>
    <row r="4" ht="23.25" customHeight="1" thickBot="1"/>
    <row r="5" spans="1:14" s="207" customFormat="1" ht="115.5" customHeight="1" thickBot="1" thickTop="1">
      <c r="A5" s="206" t="s">
        <v>228</v>
      </c>
      <c r="B5" s="208" t="s">
        <v>0</v>
      </c>
      <c r="C5" s="209" t="s">
        <v>1</v>
      </c>
      <c r="D5" s="209" t="s">
        <v>2</v>
      </c>
      <c r="E5" s="210" t="s">
        <v>702</v>
      </c>
      <c r="F5" s="210" t="s">
        <v>703</v>
      </c>
      <c r="G5" s="211" t="s">
        <v>704</v>
      </c>
      <c r="H5" s="213" t="s">
        <v>706</v>
      </c>
      <c r="I5" s="214" t="s">
        <v>705</v>
      </c>
      <c r="J5" s="215" t="s">
        <v>707</v>
      </c>
      <c r="K5" s="215" t="s">
        <v>708</v>
      </c>
      <c r="L5" s="215" t="s">
        <v>709</v>
      </c>
      <c r="M5" s="215" t="s">
        <v>710</v>
      </c>
      <c r="N5" s="209" t="s">
        <v>3</v>
      </c>
    </row>
    <row r="6" spans="1:252" s="29" customFormat="1" ht="23.25" customHeight="1" thickTop="1">
      <c r="A6" s="64"/>
      <c r="B6" s="135" t="s">
        <v>514</v>
      </c>
      <c r="C6" s="238" t="s">
        <v>515</v>
      </c>
      <c r="D6" s="121" t="s">
        <v>411</v>
      </c>
      <c r="E6" s="239">
        <v>43830</v>
      </c>
      <c r="F6" s="184">
        <v>43832</v>
      </c>
      <c r="G6" s="184">
        <v>43837</v>
      </c>
      <c r="H6" s="240"/>
      <c r="I6" s="240">
        <v>0.19</v>
      </c>
      <c r="J6" s="240">
        <v>0</v>
      </c>
      <c r="K6" s="212">
        <v>0.19</v>
      </c>
      <c r="L6" s="212">
        <f>+K6-((K6*0.766*0.125)+(K6*(1-0.766)*0.26))</f>
        <v>0.1602479</v>
      </c>
      <c r="M6" s="212">
        <f aca="true" t="shared" si="0" ref="M6:M69">J6+L6</f>
        <v>0.1602479</v>
      </c>
      <c r="N6" s="67" t="s">
        <v>251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IQ6" s="237"/>
      <c r="IR6" s="199"/>
    </row>
    <row r="7" spans="1:14" s="29" customFormat="1" ht="23.25" customHeight="1">
      <c r="A7" s="12"/>
      <c r="B7" s="12" t="s">
        <v>298</v>
      </c>
      <c r="C7" s="64" t="s">
        <v>403</v>
      </c>
      <c r="D7" s="12" t="s">
        <v>410</v>
      </c>
      <c r="E7" s="65">
        <v>43830</v>
      </c>
      <c r="F7" s="66">
        <v>43832</v>
      </c>
      <c r="G7" s="66">
        <v>43837</v>
      </c>
      <c r="H7" s="70">
        <v>0.05</v>
      </c>
      <c r="I7" s="60">
        <v>0.0625</v>
      </c>
      <c r="J7" s="60">
        <v>0.02438</v>
      </c>
      <c r="K7" s="60">
        <v>0.03812</v>
      </c>
      <c r="L7" s="60">
        <f>+K7-((K7*0.439*0.125)+(K7*(1-0.439)*0.26))</f>
        <v>0.030467981800000002</v>
      </c>
      <c r="M7" s="60">
        <f t="shared" si="0"/>
        <v>0.0548479818</v>
      </c>
      <c r="N7" s="67" t="s">
        <v>248</v>
      </c>
    </row>
    <row r="8" spans="1:14" s="29" customFormat="1" ht="23.25" customHeight="1">
      <c r="A8" s="12" t="s">
        <v>181</v>
      </c>
      <c r="B8" s="68" t="s">
        <v>181</v>
      </c>
      <c r="C8" s="69" t="s">
        <v>335</v>
      </c>
      <c r="D8" s="12" t="s">
        <v>410</v>
      </c>
      <c r="E8" s="65">
        <v>43830</v>
      </c>
      <c r="F8" s="66">
        <v>43832</v>
      </c>
      <c r="G8" s="66">
        <v>43837</v>
      </c>
      <c r="H8" s="70">
        <v>0.05</v>
      </c>
      <c r="I8" s="60">
        <v>1.07</v>
      </c>
      <c r="J8" s="60">
        <v>0</v>
      </c>
      <c r="K8" s="60">
        <v>1.07</v>
      </c>
      <c r="L8" s="60">
        <f>+K8-((K8*0.439*0.125)+(K8*(1-0.439)*0.26))</f>
        <v>0.8552135500000001</v>
      </c>
      <c r="M8" s="60">
        <f t="shared" si="0"/>
        <v>0.8552135500000001</v>
      </c>
      <c r="N8" s="67" t="s">
        <v>248</v>
      </c>
    </row>
    <row r="9" spans="1:14" s="29" customFormat="1" ht="23.25" customHeight="1">
      <c r="A9" s="12" t="s">
        <v>201</v>
      </c>
      <c r="B9" s="73" t="s">
        <v>201</v>
      </c>
      <c r="C9" s="74" t="s">
        <v>336</v>
      </c>
      <c r="D9" s="12" t="s">
        <v>410</v>
      </c>
      <c r="E9" s="65">
        <v>43830</v>
      </c>
      <c r="F9" s="66">
        <v>43832</v>
      </c>
      <c r="G9" s="66">
        <v>43837</v>
      </c>
      <c r="H9" s="67">
        <v>0.05</v>
      </c>
      <c r="I9" s="60">
        <v>1.07</v>
      </c>
      <c r="J9" s="60">
        <v>0</v>
      </c>
      <c r="K9" s="60">
        <v>1.07</v>
      </c>
      <c r="L9" s="60">
        <f>+K9-((K9*0.439*0.125)+(K9*(1-0.439)*0.26))</f>
        <v>0.8552135500000001</v>
      </c>
      <c r="M9" s="60">
        <f t="shared" si="0"/>
        <v>0.8552135500000001</v>
      </c>
      <c r="N9" s="67" t="s">
        <v>248</v>
      </c>
    </row>
    <row r="10" spans="1:252" s="30" customFormat="1" ht="21.75" customHeight="1">
      <c r="A10" s="12" t="s">
        <v>88</v>
      </c>
      <c r="B10" s="12" t="s">
        <v>138</v>
      </c>
      <c r="C10" s="64" t="s">
        <v>337</v>
      </c>
      <c r="D10" s="12" t="s">
        <v>410</v>
      </c>
      <c r="E10" s="65">
        <v>43830</v>
      </c>
      <c r="F10" s="66">
        <v>43832</v>
      </c>
      <c r="G10" s="66">
        <v>43837</v>
      </c>
      <c r="H10" s="67">
        <v>0.056</v>
      </c>
      <c r="I10" s="60">
        <v>0.0798</v>
      </c>
      <c r="J10" s="60">
        <v>0</v>
      </c>
      <c r="K10" s="60">
        <v>0.0798</v>
      </c>
      <c r="L10" s="60">
        <f>+K10-((K10*0.35*0.125)+(K10*(1-0.35)*0.26))</f>
        <v>0.06282255</v>
      </c>
      <c r="M10" s="60">
        <f t="shared" si="0"/>
        <v>0.06282255</v>
      </c>
      <c r="N10" s="67" t="s">
        <v>248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</row>
    <row r="11" spans="1:205" s="30" customFormat="1" ht="21.75" customHeight="1">
      <c r="A11" s="12" t="s">
        <v>13</v>
      </c>
      <c r="B11" s="68" t="s">
        <v>160</v>
      </c>
      <c r="C11" s="69" t="s">
        <v>338</v>
      </c>
      <c r="D11" s="12" t="s">
        <v>410</v>
      </c>
      <c r="E11" s="65">
        <v>43830</v>
      </c>
      <c r="F11" s="66">
        <v>43832</v>
      </c>
      <c r="G11" s="66">
        <v>43837</v>
      </c>
      <c r="H11" s="70">
        <v>0.05</v>
      </c>
      <c r="I11" s="60">
        <v>0.0708</v>
      </c>
      <c r="J11" s="60">
        <v>0</v>
      </c>
      <c r="K11" s="60">
        <v>0.0708</v>
      </c>
      <c r="L11" s="60">
        <f>+K11-((K11*0.35*0.125)+(K11*(1-0.35)*0.26))</f>
        <v>0.055737300000000004</v>
      </c>
      <c r="M11" s="60">
        <f t="shared" si="0"/>
        <v>0.055737300000000004</v>
      </c>
      <c r="N11" s="67" t="s">
        <v>248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</row>
    <row r="12" spans="1:14" s="30" customFormat="1" ht="21.75" customHeight="1">
      <c r="A12" s="12"/>
      <c r="B12" s="12" t="s">
        <v>300</v>
      </c>
      <c r="C12" s="64" t="s">
        <v>404</v>
      </c>
      <c r="D12" s="12" t="s">
        <v>410</v>
      </c>
      <c r="E12" s="65">
        <v>43830</v>
      </c>
      <c r="F12" s="66">
        <v>43832</v>
      </c>
      <c r="G12" s="66">
        <v>43837</v>
      </c>
      <c r="H12" s="67"/>
      <c r="I12" s="60">
        <v>0.0662</v>
      </c>
      <c r="J12" s="60">
        <v>0.004835292084846936</v>
      </c>
      <c r="K12" s="60">
        <v>0.06136470791515306</v>
      </c>
      <c r="L12" s="60">
        <f>+K12-((K12*0.35*0.125)+(K12*(1-0.35)*0.26))</f>
        <v>0.04830936630620425</v>
      </c>
      <c r="M12" s="60">
        <f t="shared" si="0"/>
        <v>0.05314465839105118</v>
      </c>
      <c r="N12" s="67" t="s">
        <v>248</v>
      </c>
    </row>
    <row r="13" spans="1:252" s="30" customFormat="1" ht="21.75" customHeight="1">
      <c r="A13" s="12"/>
      <c r="B13" s="12" t="s">
        <v>310</v>
      </c>
      <c r="C13" s="64" t="s">
        <v>424</v>
      </c>
      <c r="D13" s="12" t="s">
        <v>411</v>
      </c>
      <c r="E13" s="65">
        <v>43830</v>
      </c>
      <c r="F13" s="66">
        <v>43832</v>
      </c>
      <c r="G13" s="66">
        <v>43837</v>
      </c>
      <c r="H13" s="67"/>
      <c r="I13" s="60">
        <v>0.0208</v>
      </c>
      <c r="J13" s="60">
        <v>0</v>
      </c>
      <c r="K13" s="60">
        <v>0.0208</v>
      </c>
      <c r="L13" s="60">
        <f>+K13-((K13*0.034*0.125)+(K13*(1-0.034)*0.26))</f>
        <v>0.015487471999999999</v>
      </c>
      <c r="M13" s="60">
        <f t="shared" si="0"/>
        <v>0.015487471999999999</v>
      </c>
      <c r="N13" s="67" t="s">
        <v>251</v>
      </c>
      <c r="IQ13" s="94"/>
      <c r="IR13" s="94"/>
    </row>
    <row r="14" spans="1:252" s="30" customFormat="1" ht="21.75" customHeight="1">
      <c r="A14" s="12" t="s">
        <v>188</v>
      </c>
      <c r="B14" s="68" t="s">
        <v>188</v>
      </c>
      <c r="C14" s="69" t="s">
        <v>339</v>
      </c>
      <c r="D14" s="12" t="s">
        <v>411</v>
      </c>
      <c r="E14" s="65">
        <v>43830</v>
      </c>
      <c r="F14" s="66">
        <v>43832</v>
      </c>
      <c r="G14" s="66">
        <v>43837</v>
      </c>
      <c r="H14" s="70">
        <v>0.05</v>
      </c>
      <c r="I14" s="60">
        <v>0.35</v>
      </c>
      <c r="J14" s="60">
        <v>0</v>
      </c>
      <c r="K14" s="60">
        <v>0.35</v>
      </c>
      <c r="L14" s="60">
        <f>+K14-((K14*0.034*0.125)+(K14*(1-0.034)*0.26))</f>
        <v>0.26060649999999996</v>
      </c>
      <c r="M14" s="60">
        <f t="shared" si="0"/>
        <v>0.26060649999999996</v>
      </c>
      <c r="N14" s="67" t="s">
        <v>251</v>
      </c>
      <c r="IR14" s="94"/>
    </row>
    <row r="15" spans="1:252" s="30" customFormat="1" ht="21.75" customHeight="1">
      <c r="A15" s="12" t="s">
        <v>196</v>
      </c>
      <c r="B15" s="73" t="s">
        <v>196</v>
      </c>
      <c r="C15" s="74" t="s">
        <v>340</v>
      </c>
      <c r="D15" s="12" t="s">
        <v>411</v>
      </c>
      <c r="E15" s="65">
        <v>43830</v>
      </c>
      <c r="F15" s="66">
        <v>43832</v>
      </c>
      <c r="G15" s="66">
        <v>43837</v>
      </c>
      <c r="H15" s="67">
        <v>0.045</v>
      </c>
      <c r="I15" s="60">
        <v>0.36</v>
      </c>
      <c r="J15" s="60">
        <v>0</v>
      </c>
      <c r="K15" s="60">
        <v>0.36</v>
      </c>
      <c r="L15" s="60">
        <f>+K15-((K15*0.034*0.125)+(K15*(1-0.034)*0.26))</f>
        <v>0.26805239999999997</v>
      </c>
      <c r="M15" s="60">
        <f t="shared" si="0"/>
        <v>0.26805239999999997</v>
      </c>
      <c r="N15" s="67" t="s">
        <v>251</v>
      </c>
      <c r="IR15" s="94"/>
    </row>
    <row r="16" spans="1:252" s="30" customFormat="1" ht="21.75" customHeight="1">
      <c r="A16" s="12" t="s">
        <v>87</v>
      </c>
      <c r="B16" s="12" t="s">
        <v>142</v>
      </c>
      <c r="C16" s="64" t="s">
        <v>341</v>
      </c>
      <c r="D16" s="12" t="s">
        <v>410</v>
      </c>
      <c r="E16" s="65">
        <v>43830</v>
      </c>
      <c r="F16" s="66">
        <v>43832</v>
      </c>
      <c r="G16" s="66">
        <v>43837</v>
      </c>
      <c r="H16" s="67">
        <v>0.05</v>
      </c>
      <c r="I16" s="60">
        <v>0.0718</v>
      </c>
      <c r="J16" s="60">
        <v>0</v>
      </c>
      <c r="K16" s="60">
        <v>0.0718</v>
      </c>
      <c r="L16" s="60">
        <f>+K16-((K16*0.016*0.125)+(K16*(1-0.016)*0.26))</f>
        <v>0.053287088</v>
      </c>
      <c r="M16" s="60">
        <f t="shared" si="0"/>
        <v>0.053287088</v>
      </c>
      <c r="N16" s="67" t="s">
        <v>248</v>
      </c>
      <c r="IR16" s="94"/>
    </row>
    <row r="17" spans="1:14" s="30" customFormat="1" ht="21.75" customHeight="1">
      <c r="A17" s="12" t="s">
        <v>14</v>
      </c>
      <c r="B17" s="68" t="s">
        <v>159</v>
      </c>
      <c r="C17" s="69" t="s">
        <v>342</v>
      </c>
      <c r="D17" s="12" t="s">
        <v>410</v>
      </c>
      <c r="E17" s="65">
        <v>43830</v>
      </c>
      <c r="F17" s="66">
        <v>43832</v>
      </c>
      <c r="G17" s="66">
        <v>43837</v>
      </c>
      <c r="H17" s="70">
        <v>0.045</v>
      </c>
      <c r="I17" s="60">
        <v>0.0644</v>
      </c>
      <c r="J17" s="60">
        <v>0</v>
      </c>
      <c r="K17" s="60">
        <v>0.0644</v>
      </c>
      <c r="L17" s="60">
        <f>+K17-((K17*0.016*0.125)+(K17*(1-0.016)*0.26))</f>
        <v>0.047795104000000005</v>
      </c>
      <c r="M17" s="60">
        <f t="shared" si="0"/>
        <v>0.047795104000000005</v>
      </c>
      <c r="N17" s="67" t="s">
        <v>248</v>
      </c>
    </row>
    <row r="18" spans="1:14" s="30" customFormat="1" ht="21.75" customHeight="1">
      <c r="A18" s="12" t="s">
        <v>89</v>
      </c>
      <c r="B18" s="12" t="s">
        <v>139</v>
      </c>
      <c r="C18" s="64" t="s">
        <v>344</v>
      </c>
      <c r="D18" s="12" t="s">
        <v>410</v>
      </c>
      <c r="E18" s="65">
        <v>43830</v>
      </c>
      <c r="F18" s="66">
        <v>43832</v>
      </c>
      <c r="G18" s="66">
        <v>43837</v>
      </c>
      <c r="H18" s="67">
        <v>0.03</v>
      </c>
      <c r="I18" s="60">
        <v>0.0321</v>
      </c>
      <c r="J18" s="60">
        <v>0</v>
      </c>
      <c r="K18" s="60">
        <v>0.0321</v>
      </c>
      <c r="L18" s="60">
        <f>+K18-((K18*0.849*0.125)+(K18*(1-0.849)*0.26))</f>
        <v>0.027433141499999997</v>
      </c>
      <c r="M18" s="60">
        <f t="shared" si="0"/>
        <v>0.027433141499999997</v>
      </c>
      <c r="N18" s="67" t="s">
        <v>248</v>
      </c>
    </row>
    <row r="19" spans="1:14" s="30" customFormat="1" ht="21.75" customHeight="1">
      <c r="A19" s="12" t="s">
        <v>15</v>
      </c>
      <c r="B19" s="68" t="s">
        <v>161</v>
      </c>
      <c r="C19" s="69" t="s">
        <v>345</v>
      </c>
      <c r="D19" s="12" t="s">
        <v>410</v>
      </c>
      <c r="E19" s="65">
        <v>43830</v>
      </c>
      <c r="F19" s="66">
        <v>43832</v>
      </c>
      <c r="G19" s="66">
        <v>43837</v>
      </c>
      <c r="H19" s="70">
        <v>0.024</v>
      </c>
      <c r="I19" s="60">
        <v>0.0256</v>
      </c>
      <c r="J19" s="60">
        <v>0</v>
      </c>
      <c r="K19" s="60">
        <v>0.0256</v>
      </c>
      <c r="L19" s="60">
        <f>+K19-((K19*0.849*0.125)+(K19*(1-0.849)*0.26))</f>
        <v>0.021878144000000002</v>
      </c>
      <c r="M19" s="60">
        <f t="shared" si="0"/>
        <v>0.021878144000000002</v>
      </c>
      <c r="N19" s="67" t="s">
        <v>248</v>
      </c>
    </row>
    <row r="20" spans="1:14" s="30" customFormat="1" ht="21.75" customHeight="1">
      <c r="A20" s="12" t="s">
        <v>229</v>
      </c>
      <c r="B20" s="68" t="s">
        <v>191</v>
      </c>
      <c r="C20" s="69" t="s">
        <v>346</v>
      </c>
      <c r="D20" s="12" t="s">
        <v>411</v>
      </c>
      <c r="E20" s="65">
        <v>43830</v>
      </c>
      <c r="F20" s="66">
        <v>43832</v>
      </c>
      <c r="G20" s="66">
        <v>43837</v>
      </c>
      <c r="H20" s="70">
        <v>0.04</v>
      </c>
      <c r="I20" s="60">
        <v>0.0167</v>
      </c>
      <c r="J20" s="60">
        <v>0</v>
      </c>
      <c r="K20" s="60">
        <v>0.0167</v>
      </c>
      <c r="L20" s="60">
        <f>+K20-((K20*0.849*0.125)+(K20*(1-0.849)*0.26))</f>
        <v>0.0142720705</v>
      </c>
      <c r="M20" s="60">
        <f t="shared" si="0"/>
        <v>0.0142720705</v>
      </c>
      <c r="N20" s="67" t="s">
        <v>251</v>
      </c>
    </row>
    <row r="21" spans="1:14" s="30" customFormat="1" ht="21.75" customHeight="1">
      <c r="A21" s="12" t="s">
        <v>231</v>
      </c>
      <c r="B21" s="73" t="s">
        <v>199</v>
      </c>
      <c r="C21" s="74" t="s">
        <v>347</v>
      </c>
      <c r="D21" s="12" t="s">
        <v>411</v>
      </c>
      <c r="E21" s="65">
        <v>43830</v>
      </c>
      <c r="F21" s="66">
        <v>43832</v>
      </c>
      <c r="G21" s="66">
        <v>43837</v>
      </c>
      <c r="H21" s="67">
        <v>0.04</v>
      </c>
      <c r="I21" s="60">
        <v>0.0167</v>
      </c>
      <c r="J21" s="60">
        <v>0</v>
      </c>
      <c r="K21" s="60">
        <v>0.0167</v>
      </c>
      <c r="L21" s="60">
        <f>+K21-((K21*0.849*0.125)+(K21*(1-0.849)*0.26))</f>
        <v>0.0142720705</v>
      </c>
      <c r="M21" s="60">
        <f t="shared" si="0"/>
        <v>0.0142720705</v>
      </c>
      <c r="N21" s="67" t="s">
        <v>251</v>
      </c>
    </row>
    <row r="22" spans="1:14" s="30" customFormat="1" ht="21.75" customHeight="1">
      <c r="A22" s="12" t="s">
        <v>91</v>
      </c>
      <c r="B22" s="12" t="s">
        <v>141</v>
      </c>
      <c r="C22" s="64" t="s">
        <v>348</v>
      </c>
      <c r="D22" s="12" t="s">
        <v>410</v>
      </c>
      <c r="E22" s="65">
        <v>43830</v>
      </c>
      <c r="F22" s="66">
        <v>43832</v>
      </c>
      <c r="G22" s="66">
        <v>43837</v>
      </c>
      <c r="H22" s="67">
        <v>0.045</v>
      </c>
      <c r="I22" s="60">
        <v>0.0539</v>
      </c>
      <c r="J22" s="60">
        <v>0</v>
      </c>
      <c r="K22" s="60">
        <v>0.0539</v>
      </c>
      <c r="L22" s="60">
        <f>+K22-((K22*0.086*0.125)+(K22*(1-0.086)*0.26))</f>
        <v>0.040511779</v>
      </c>
      <c r="M22" s="60">
        <f t="shared" si="0"/>
        <v>0.040511779</v>
      </c>
      <c r="N22" s="67" t="s">
        <v>248</v>
      </c>
    </row>
    <row r="23" spans="1:14" s="30" customFormat="1" ht="21.75" customHeight="1">
      <c r="A23" s="12" t="s">
        <v>90</v>
      </c>
      <c r="B23" s="12" t="s">
        <v>140</v>
      </c>
      <c r="C23" s="64" t="s">
        <v>349</v>
      </c>
      <c r="D23" s="12" t="s">
        <v>410</v>
      </c>
      <c r="E23" s="65">
        <v>43830</v>
      </c>
      <c r="F23" s="66">
        <v>43832</v>
      </c>
      <c r="G23" s="66">
        <v>43837</v>
      </c>
      <c r="H23" s="67">
        <v>0.04</v>
      </c>
      <c r="I23" s="60">
        <v>0.0498</v>
      </c>
      <c r="J23" s="60">
        <v>0</v>
      </c>
      <c r="K23" s="60">
        <v>0.0498</v>
      </c>
      <c r="L23" s="60">
        <f>+K23-((K23*0.086*0.125)+(K23*(1-0.086)*0.26))</f>
        <v>0.037430177999999995</v>
      </c>
      <c r="M23" s="60">
        <f t="shared" si="0"/>
        <v>0.037430177999999995</v>
      </c>
      <c r="N23" s="67" t="s">
        <v>248</v>
      </c>
    </row>
    <row r="24" spans="1:14" s="30" customFormat="1" ht="21.75" customHeight="1">
      <c r="A24" s="12" t="s">
        <v>17</v>
      </c>
      <c r="B24" s="68" t="s">
        <v>162</v>
      </c>
      <c r="C24" s="69" t="s">
        <v>350</v>
      </c>
      <c r="D24" s="12" t="s">
        <v>410</v>
      </c>
      <c r="E24" s="65">
        <v>43830</v>
      </c>
      <c r="F24" s="66">
        <v>43832</v>
      </c>
      <c r="G24" s="66">
        <v>43837</v>
      </c>
      <c r="H24" s="70">
        <v>0.034</v>
      </c>
      <c r="I24" s="60">
        <v>0.0422</v>
      </c>
      <c r="J24" s="60">
        <v>0</v>
      </c>
      <c r="K24" s="60">
        <v>0.0422</v>
      </c>
      <c r="L24" s="60">
        <f>+K24-((K24*0.086*0.125)+(K24*(1-0.086)*0.26))</f>
        <v>0.031717942</v>
      </c>
      <c r="M24" s="60">
        <f t="shared" si="0"/>
        <v>0.031717942</v>
      </c>
      <c r="N24" s="67" t="s">
        <v>248</v>
      </c>
    </row>
    <row r="25" spans="1:14" s="30" customFormat="1" ht="21.75" customHeight="1">
      <c r="A25" s="12"/>
      <c r="B25" s="12" t="s">
        <v>302</v>
      </c>
      <c r="C25" s="64" t="s">
        <v>405</v>
      </c>
      <c r="D25" s="12" t="s">
        <v>410</v>
      </c>
      <c r="E25" s="65">
        <v>43830</v>
      </c>
      <c r="F25" s="66">
        <v>43832</v>
      </c>
      <c r="G25" s="66">
        <v>43837</v>
      </c>
      <c r="H25" s="67"/>
      <c r="I25" s="60">
        <v>0.0537</v>
      </c>
      <c r="J25" s="60">
        <v>0</v>
      </c>
      <c r="K25" s="60">
        <v>0.0537</v>
      </c>
      <c r="L25" s="60">
        <f>+K25-((K25*0.086*0.125)+(K25*(1-0.086)*0.26))</f>
        <v>0.040361456999999996</v>
      </c>
      <c r="M25" s="60">
        <f t="shared" si="0"/>
        <v>0.040361456999999996</v>
      </c>
      <c r="N25" s="67" t="s">
        <v>248</v>
      </c>
    </row>
    <row r="26" spans="1:14" s="30" customFormat="1" ht="21.75" customHeight="1">
      <c r="A26" s="12"/>
      <c r="B26" s="12" t="s">
        <v>303</v>
      </c>
      <c r="C26" s="64" t="s">
        <v>406</v>
      </c>
      <c r="D26" s="12" t="s">
        <v>410</v>
      </c>
      <c r="E26" s="65">
        <v>43830</v>
      </c>
      <c r="F26" s="66">
        <v>43832</v>
      </c>
      <c r="G26" s="66">
        <v>43837</v>
      </c>
      <c r="H26" s="67"/>
      <c r="I26" s="60">
        <v>0.0462</v>
      </c>
      <c r="J26" s="60">
        <v>0</v>
      </c>
      <c r="K26" s="60">
        <v>0.0462</v>
      </c>
      <c r="L26" s="60">
        <f>+K26-((K26*0.086*0.125)+(K26*(1-0.086)*0.26))</f>
        <v>0.034724382</v>
      </c>
      <c r="M26" s="60">
        <f t="shared" si="0"/>
        <v>0.034724382</v>
      </c>
      <c r="N26" s="67" t="s">
        <v>248</v>
      </c>
    </row>
    <row r="27" spans="1:14" s="30" customFormat="1" ht="21.75" customHeight="1">
      <c r="A27" s="12" t="s">
        <v>92</v>
      </c>
      <c r="B27" s="12" t="s">
        <v>143</v>
      </c>
      <c r="C27" s="64" t="s">
        <v>351</v>
      </c>
      <c r="D27" s="12" t="s">
        <v>410</v>
      </c>
      <c r="E27" s="65">
        <v>43830</v>
      </c>
      <c r="F27" s="66">
        <v>43832</v>
      </c>
      <c r="G27" s="66">
        <v>43837</v>
      </c>
      <c r="H27" s="67">
        <v>0.01</v>
      </c>
      <c r="I27" s="60">
        <v>0.0125</v>
      </c>
      <c r="J27" s="60">
        <v>0</v>
      </c>
      <c r="K27" s="60">
        <v>0.0125</v>
      </c>
      <c r="L27" s="60">
        <f>+K27-((K27*0.696*0.125)+(K27*(1-0.696)*0.26))</f>
        <v>0.0104245</v>
      </c>
      <c r="M27" s="60">
        <f t="shared" si="0"/>
        <v>0.0104245</v>
      </c>
      <c r="N27" s="67" t="s">
        <v>248</v>
      </c>
    </row>
    <row r="28" spans="1:14" s="30" customFormat="1" ht="21.75" customHeight="1">
      <c r="A28" s="12" t="s">
        <v>94</v>
      </c>
      <c r="B28" s="12" t="s">
        <v>145</v>
      </c>
      <c r="C28" s="64" t="s">
        <v>352</v>
      </c>
      <c r="D28" s="12" t="s">
        <v>410</v>
      </c>
      <c r="E28" s="65">
        <v>43830</v>
      </c>
      <c r="F28" s="66">
        <v>43832</v>
      </c>
      <c r="G28" s="66">
        <v>43837</v>
      </c>
      <c r="H28" s="67">
        <v>0.009</v>
      </c>
      <c r="I28" s="60">
        <v>0.0113</v>
      </c>
      <c r="J28" s="60">
        <v>0</v>
      </c>
      <c r="K28" s="60">
        <v>0.0113</v>
      </c>
      <c r="L28" s="60">
        <f>+K28-((K28*0.016*0.125)+(K28*(1-0.016)*0.26))</f>
        <v>0.008386408</v>
      </c>
      <c r="M28" s="60">
        <f t="shared" si="0"/>
        <v>0.008386408</v>
      </c>
      <c r="N28" s="67" t="s">
        <v>248</v>
      </c>
    </row>
    <row r="29" spans="1:14" s="30" customFormat="1" ht="21.75" customHeight="1">
      <c r="A29" s="12" t="s">
        <v>93</v>
      </c>
      <c r="B29" s="12" t="s">
        <v>144</v>
      </c>
      <c r="C29" s="64" t="s">
        <v>353</v>
      </c>
      <c r="D29" s="12" t="s">
        <v>410</v>
      </c>
      <c r="E29" s="65">
        <v>43830</v>
      </c>
      <c r="F29" s="66">
        <v>43832</v>
      </c>
      <c r="G29" s="66">
        <v>43837</v>
      </c>
      <c r="H29" s="67">
        <v>0.008</v>
      </c>
      <c r="I29" s="60">
        <v>0.01</v>
      </c>
      <c r="J29" s="60">
        <v>0</v>
      </c>
      <c r="K29" s="60">
        <v>0.01</v>
      </c>
      <c r="L29" s="60">
        <f>+K29-((K29*0.951*0.125)+(K29*(1-0.951)*0.26))</f>
        <v>0.00868385</v>
      </c>
      <c r="M29" s="60">
        <f t="shared" si="0"/>
        <v>0.00868385</v>
      </c>
      <c r="N29" s="67" t="s">
        <v>248</v>
      </c>
    </row>
    <row r="30" spans="1:14" s="30" customFormat="1" ht="21.75" customHeight="1">
      <c r="A30" s="12"/>
      <c r="B30" s="12" t="s">
        <v>306</v>
      </c>
      <c r="C30" s="64" t="s">
        <v>430</v>
      </c>
      <c r="D30" s="12" t="s">
        <v>411</v>
      </c>
      <c r="E30" s="65">
        <v>43830</v>
      </c>
      <c r="F30" s="66">
        <v>43832</v>
      </c>
      <c r="G30" s="66">
        <v>43837</v>
      </c>
      <c r="H30" s="70">
        <v>0.02</v>
      </c>
      <c r="I30" s="60">
        <v>0.0083</v>
      </c>
      <c r="J30" s="60">
        <v>0</v>
      </c>
      <c r="K30" s="60">
        <v>0.0083</v>
      </c>
      <c r="L30" s="60">
        <f>+K30-((K30*0.0000001*0.125)+(K30*(1-0.0000001)*0.26))</f>
        <v>0.006142000112049999</v>
      </c>
      <c r="M30" s="60">
        <f t="shared" si="0"/>
        <v>0.006142000112049999</v>
      </c>
      <c r="N30" s="67" t="s">
        <v>251</v>
      </c>
    </row>
    <row r="31" spans="1:14" s="30" customFormat="1" ht="21.75" customHeight="1">
      <c r="A31" s="12" t="s">
        <v>184</v>
      </c>
      <c r="B31" s="68" t="s">
        <v>184</v>
      </c>
      <c r="C31" s="69" t="s">
        <v>354</v>
      </c>
      <c r="D31" s="12" t="s">
        <v>411</v>
      </c>
      <c r="E31" s="65">
        <v>43830</v>
      </c>
      <c r="F31" s="66">
        <v>43832</v>
      </c>
      <c r="G31" s="66">
        <v>43837</v>
      </c>
      <c r="H31" s="70">
        <v>0.02</v>
      </c>
      <c r="I31" s="60">
        <v>0.16</v>
      </c>
      <c r="J31" s="60">
        <v>0</v>
      </c>
      <c r="K31" s="60">
        <v>0.16</v>
      </c>
      <c r="L31" s="60">
        <f>+K31-((K31*0.0000001*0.125)+(K31*(1-0.0000001)*0.26))</f>
        <v>0.11840000215999999</v>
      </c>
      <c r="M31" s="60">
        <f t="shared" si="0"/>
        <v>0.11840000215999999</v>
      </c>
      <c r="N31" s="67" t="s">
        <v>251</v>
      </c>
    </row>
    <row r="32" spans="1:14" s="30" customFormat="1" ht="21.75" customHeight="1">
      <c r="A32" s="12" t="s">
        <v>192</v>
      </c>
      <c r="B32" s="73" t="s">
        <v>192</v>
      </c>
      <c r="C32" s="74" t="s">
        <v>355</v>
      </c>
      <c r="D32" s="12" t="s">
        <v>411</v>
      </c>
      <c r="E32" s="65">
        <v>43830</v>
      </c>
      <c r="F32" s="66">
        <v>43832</v>
      </c>
      <c r="G32" s="66">
        <v>43837</v>
      </c>
      <c r="H32" s="67">
        <v>0.02</v>
      </c>
      <c r="I32" s="60">
        <v>0.16</v>
      </c>
      <c r="J32" s="60">
        <v>0</v>
      </c>
      <c r="K32" s="60">
        <v>0.16</v>
      </c>
      <c r="L32" s="60">
        <f>+K32-((K32*0.0000001*0.125)+(K32*(1-0.0000001)*0.26))</f>
        <v>0.11840000215999999</v>
      </c>
      <c r="M32" s="60">
        <f t="shared" si="0"/>
        <v>0.11840000215999999</v>
      </c>
      <c r="N32" s="67" t="s">
        <v>251</v>
      </c>
    </row>
    <row r="33" spans="1:14" s="30" customFormat="1" ht="21.75" customHeight="1">
      <c r="A33" s="12"/>
      <c r="B33" s="12" t="s">
        <v>311</v>
      </c>
      <c r="C33" s="64" t="s">
        <v>425</v>
      </c>
      <c r="D33" s="12" t="s">
        <v>411</v>
      </c>
      <c r="E33" s="65">
        <v>43830</v>
      </c>
      <c r="F33" s="66">
        <v>43832</v>
      </c>
      <c r="G33" s="66">
        <v>43837</v>
      </c>
      <c r="H33" s="67"/>
      <c r="I33" s="60">
        <v>0.0041</v>
      </c>
      <c r="J33" s="60">
        <v>0</v>
      </c>
      <c r="K33" s="60">
        <v>0.0041</v>
      </c>
      <c r="L33" s="60">
        <f>+K33-((K33*0.0000000001*0.125)+(K33*(1-0.000000001)*0.26))</f>
        <v>0.00303400000101475</v>
      </c>
      <c r="M33" s="60">
        <f t="shared" si="0"/>
        <v>0.00303400000101475</v>
      </c>
      <c r="N33" s="67" t="s">
        <v>251</v>
      </c>
    </row>
    <row r="34" spans="1:14" s="30" customFormat="1" ht="21.75" customHeight="1">
      <c r="A34" s="12" t="s">
        <v>189</v>
      </c>
      <c r="B34" s="68" t="s">
        <v>189</v>
      </c>
      <c r="C34" s="69" t="s">
        <v>356</v>
      </c>
      <c r="D34" s="12" t="s">
        <v>411</v>
      </c>
      <c r="E34" s="65">
        <v>43830</v>
      </c>
      <c r="F34" s="66">
        <v>43832</v>
      </c>
      <c r="G34" s="66">
        <v>43837</v>
      </c>
      <c r="H34" s="70"/>
      <c r="I34" s="60">
        <v>0.07</v>
      </c>
      <c r="J34" s="60">
        <v>0</v>
      </c>
      <c r="K34" s="60">
        <v>0.07</v>
      </c>
      <c r="L34" s="60">
        <f>+K34-((K34*0.0000000001*0.125)+(K34*(1-0.000000001)*0.26))</f>
        <v>0.051800000017325</v>
      </c>
      <c r="M34" s="60">
        <f t="shared" si="0"/>
        <v>0.051800000017325</v>
      </c>
      <c r="N34" s="67" t="s">
        <v>251</v>
      </c>
    </row>
    <row r="35" spans="1:14" s="30" customFormat="1" ht="21.75" customHeight="1">
      <c r="A35" s="12" t="s">
        <v>197</v>
      </c>
      <c r="B35" s="73" t="s">
        <v>197</v>
      </c>
      <c r="C35" s="74" t="s">
        <v>357</v>
      </c>
      <c r="D35" s="12" t="s">
        <v>411</v>
      </c>
      <c r="E35" s="65">
        <v>43830</v>
      </c>
      <c r="F35" s="66">
        <v>43832</v>
      </c>
      <c r="G35" s="66">
        <v>43837</v>
      </c>
      <c r="H35" s="67"/>
      <c r="I35" s="60">
        <v>0.08</v>
      </c>
      <c r="J35" s="60">
        <v>0</v>
      </c>
      <c r="K35" s="60">
        <v>0.08</v>
      </c>
      <c r="L35" s="60">
        <f>+K35-((K35*0.0000000001*0.125)+(K35*(1-0.000000001)*0.26))</f>
        <v>0.0592000000198</v>
      </c>
      <c r="M35" s="60">
        <f t="shared" si="0"/>
        <v>0.0592000000198</v>
      </c>
      <c r="N35" s="67" t="s">
        <v>251</v>
      </c>
    </row>
    <row r="36" spans="1:14" s="30" customFormat="1" ht="21.75" customHeight="1">
      <c r="A36" s="12" t="s">
        <v>96</v>
      </c>
      <c r="B36" s="12" t="s">
        <v>147</v>
      </c>
      <c r="C36" s="64" t="s">
        <v>360</v>
      </c>
      <c r="D36" s="12" t="s">
        <v>410</v>
      </c>
      <c r="E36" s="65">
        <v>43830</v>
      </c>
      <c r="F36" s="66">
        <v>43832</v>
      </c>
      <c r="G36" s="66">
        <v>43837</v>
      </c>
      <c r="H36" s="67">
        <v>0.023</v>
      </c>
      <c r="I36" s="60">
        <v>0.0295</v>
      </c>
      <c r="J36" s="60">
        <v>0</v>
      </c>
      <c r="K36" s="60">
        <v>0.0295</v>
      </c>
      <c r="L36" s="60">
        <f>+K36-((K36*0.121*0.125)+(K36*(1-0.121)*0.26))</f>
        <v>0.022311882499999998</v>
      </c>
      <c r="M36" s="60">
        <f t="shared" si="0"/>
        <v>0.022311882499999998</v>
      </c>
      <c r="N36" s="67" t="s">
        <v>248</v>
      </c>
    </row>
    <row r="37" spans="1:14" s="30" customFormat="1" ht="21.75" customHeight="1">
      <c r="A37" s="12" t="s">
        <v>9</v>
      </c>
      <c r="B37" s="68" t="s">
        <v>164</v>
      </c>
      <c r="C37" s="69" t="s">
        <v>361</v>
      </c>
      <c r="D37" s="12" t="s">
        <v>410</v>
      </c>
      <c r="E37" s="65">
        <v>43830</v>
      </c>
      <c r="F37" s="66">
        <v>43832</v>
      </c>
      <c r="G37" s="66">
        <v>43837</v>
      </c>
      <c r="H37" s="70">
        <v>0.017</v>
      </c>
      <c r="I37" s="60">
        <v>0.0206</v>
      </c>
      <c r="J37" s="60">
        <v>0</v>
      </c>
      <c r="K37" s="60">
        <v>0.0206</v>
      </c>
      <c r="L37" s="60">
        <f>+K37-((K37*0.121*0.125)+(K37*(1-0.121)*0.26))</f>
        <v>0.015580501</v>
      </c>
      <c r="M37" s="60">
        <f t="shared" si="0"/>
        <v>0.015580501</v>
      </c>
      <c r="N37" s="67" t="s">
        <v>248</v>
      </c>
    </row>
    <row r="38" spans="1:14" s="30" customFormat="1" ht="21.75" customHeight="1">
      <c r="A38" s="12" t="s">
        <v>97</v>
      </c>
      <c r="B38" s="12" t="s">
        <v>148</v>
      </c>
      <c r="C38" s="64" t="s">
        <v>362</v>
      </c>
      <c r="D38" s="12" t="s">
        <v>410</v>
      </c>
      <c r="E38" s="65">
        <v>43830</v>
      </c>
      <c r="F38" s="66">
        <v>43832</v>
      </c>
      <c r="G38" s="66">
        <v>43837</v>
      </c>
      <c r="H38" s="67">
        <v>0.008</v>
      </c>
      <c r="I38" s="60">
        <v>0.01</v>
      </c>
      <c r="J38" s="60">
        <v>0</v>
      </c>
      <c r="K38" s="60">
        <v>0.01</v>
      </c>
      <c r="L38" s="60">
        <f>+K38-((K38*0.452*0.125)+(K38*(1-0.452)*0.26))</f>
        <v>0.0080102</v>
      </c>
      <c r="M38" s="60">
        <f t="shared" si="0"/>
        <v>0.0080102</v>
      </c>
      <c r="N38" s="67" t="s">
        <v>248</v>
      </c>
    </row>
    <row r="39" spans="1:205" s="30" customFormat="1" ht="21.75" customHeight="1">
      <c r="A39" s="12"/>
      <c r="B39" s="12" t="s">
        <v>308</v>
      </c>
      <c r="C39" s="64" t="s">
        <v>426</v>
      </c>
      <c r="D39" s="12" t="s">
        <v>411</v>
      </c>
      <c r="E39" s="65">
        <v>43830</v>
      </c>
      <c r="F39" s="66">
        <v>43832</v>
      </c>
      <c r="G39" s="66">
        <v>43837</v>
      </c>
      <c r="H39" s="67"/>
      <c r="I39" s="60">
        <v>0.0083</v>
      </c>
      <c r="J39" s="60">
        <v>0</v>
      </c>
      <c r="K39" s="60">
        <v>0.0083</v>
      </c>
      <c r="L39" s="60">
        <f>+K39-((K39*0.452*0.125)+(K39*(1-0.452)*0.26))</f>
        <v>0.006648466</v>
      </c>
      <c r="M39" s="60">
        <f t="shared" si="0"/>
        <v>0.006648466</v>
      </c>
      <c r="N39" s="67" t="s">
        <v>251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</row>
    <row r="40" spans="1:205" s="30" customFormat="1" ht="21.75" customHeight="1">
      <c r="A40" s="12" t="s">
        <v>186</v>
      </c>
      <c r="B40" s="68" t="s">
        <v>186</v>
      </c>
      <c r="C40" s="69" t="s">
        <v>363</v>
      </c>
      <c r="D40" s="12" t="s">
        <v>411</v>
      </c>
      <c r="E40" s="65">
        <v>43830</v>
      </c>
      <c r="F40" s="66">
        <v>43832</v>
      </c>
      <c r="G40" s="66">
        <v>43837</v>
      </c>
      <c r="H40" s="70">
        <v>0.02</v>
      </c>
      <c r="I40" s="60">
        <v>0.14</v>
      </c>
      <c r="J40" s="60">
        <v>0</v>
      </c>
      <c r="K40" s="60">
        <v>0.14</v>
      </c>
      <c r="L40" s="60">
        <f>+K40-((K40*0.452*0.125)+(K40*(1-0.452)*0.26))</f>
        <v>0.11214280000000001</v>
      </c>
      <c r="M40" s="60">
        <f t="shared" si="0"/>
        <v>0.11214280000000001</v>
      </c>
      <c r="N40" s="67" t="s">
        <v>251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</row>
    <row r="41" spans="1:205" s="30" customFormat="1" ht="21.75" customHeight="1">
      <c r="A41" s="12" t="s">
        <v>194</v>
      </c>
      <c r="B41" s="73" t="s">
        <v>194</v>
      </c>
      <c r="C41" s="74" t="s">
        <v>364</v>
      </c>
      <c r="D41" s="12" t="s">
        <v>411</v>
      </c>
      <c r="E41" s="65">
        <v>43830</v>
      </c>
      <c r="F41" s="66">
        <v>43832</v>
      </c>
      <c r="G41" s="66">
        <v>43837</v>
      </c>
      <c r="H41" s="67">
        <v>0.02</v>
      </c>
      <c r="I41" s="60">
        <v>0.15</v>
      </c>
      <c r="J41" s="60">
        <v>0</v>
      </c>
      <c r="K41" s="60">
        <v>0.15</v>
      </c>
      <c r="L41" s="60">
        <f>+K41-((K41*0.452*0.125)+(K41*(1-0.452)*0.26))</f>
        <v>0.120153</v>
      </c>
      <c r="M41" s="60">
        <f t="shared" si="0"/>
        <v>0.120153</v>
      </c>
      <c r="N41" s="67" t="s">
        <v>251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</row>
    <row r="42" spans="1:205" s="30" customFormat="1" ht="21.75" customHeight="1">
      <c r="A42" s="12" t="s">
        <v>200</v>
      </c>
      <c r="B42" s="73" t="s">
        <v>200</v>
      </c>
      <c r="C42" s="74" t="s">
        <v>365</v>
      </c>
      <c r="D42" s="12" t="s">
        <v>410</v>
      </c>
      <c r="E42" s="65">
        <v>43830</v>
      </c>
      <c r="F42" s="66">
        <v>43832</v>
      </c>
      <c r="G42" s="66">
        <v>43837</v>
      </c>
      <c r="H42" s="67">
        <v>0.02</v>
      </c>
      <c r="I42" s="60">
        <v>0.47</v>
      </c>
      <c r="J42" s="60">
        <v>0</v>
      </c>
      <c r="K42" s="60">
        <v>0.47</v>
      </c>
      <c r="L42" s="60">
        <f>+K42-((K42*0.452*0.125)+(K42*(1-0.452)*0.26))</f>
        <v>0.37647939999999996</v>
      </c>
      <c r="M42" s="60">
        <f t="shared" si="0"/>
        <v>0.37647939999999996</v>
      </c>
      <c r="N42" s="67" t="s">
        <v>248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</row>
    <row r="43" spans="1:205" s="30" customFormat="1" ht="21.75" customHeight="1">
      <c r="A43" s="12"/>
      <c r="B43" s="12" t="s">
        <v>307</v>
      </c>
      <c r="C43" s="64" t="s">
        <v>420</v>
      </c>
      <c r="D43" s="12" t="s">
        <v>411</v>
      </c>
      <c r="E43" s="65">
        <v>43830</v>
      </c>
      <c r="F43" s="66">
        <v>43832</v>
      </c>
      <c r="G43" s="66">
        <v>43837</v>
      </c>
      <c r="H43" s="67"/>
      <c r="I43" s="60">
        <v>0.0083</v>
      </c>
      <c r="J43" s="60">
        <v>0</v>
      </c>
      <c r="K43" s="60">
        <v>0.0083</v>
      </c>
      <c r="L43" s="60">
        <f>+K43-((K43*0.547*0.125)+(K43*(1-0.547)*0.26))</f>
        <v>0.0067549135</v>
      </c>
      <c r="M43" s="60">
        <f t="shared" si="0"/>
        <v>0.0067549135</v>
      </c>
      <c r="N43" s="67" t="s">
        <v>251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</row>
    <row r="44" spans="1:205" s="30" customFormat="1" ht="21.75" customHeight="1">
      <c r="A44" s="12" t="s">
        <v>185</v>
      </c>
      <c r="B44" s="68" t="s">
        <v>185</v>
      </c>
      <c r="C44" s="69" t="s">
        <v>366</v>
      </c>
      <c r="D44" s="12" t="s">
        <v>411</v>
      </c>
      <c r="E44" s="65">
        <v>43830</v>
      </c>
      <c r="F44" s="66">
        <v>43832</v>
      </c>
      <c r="G44" s="66">
        <v>43837</v>
      </c>
      <c r="H44" s="70">
        <v>0.02</v>
      </c>
      <c r="I44" s="60">
        <v>0.13</v>
      </c>
      <c r="J44" s="60">
        <v>0</v>
      </c>
      <c r="K44" s="60">
        <v>0.13</v>
      </c>
      <c r="L44" s="60">
        <f>+K44-((K44*0.547*0.125)+(K44*(1-0.547)*0.26))</f>
        <v>0.10579985</v>
      </c>
      <c r="M44" s="60">
        <f t="shared" si="0"/>
        <v>0.10579985</v>
      </c>
      <c r="N44" s="67" t="s">
        <v>251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</row>
    <row r="45" spans="1:205" s="30" customFormat="1" ht="21.75" customHeight="1">
      <c r="A45" s="12" t="s">
        <v>193</v>
      </c>
      <c r="B45" s="73" t="s">
        <v>193</v>
      </c>
      <c r="C45" s="74" t="s">
        <v>367</v>
      </c>
      <c r="D45" s="12" t="s">
        <v>411</v>
      </c>
      <c r="E45" s="65">
        <v>43830</v>
      </c>
      <c r="F45" s="66">
        <v>43832</v>
      </c>
      <c r="G45" s="66">
        <v>43837</v>
      </c>
      <c r="H45" s="67">
        <v>0.02</v>
      </c>
      <c r="I45" s="60">
        <v>0.13</v>
      </c>
      <c r="J45" s="60">
        <v>0</v>
      </c>
      <c r="K45" s="60">
        <v>0.13</v>
      </c>
      <c r="L45" s="60">
        <f>+K45-((K45*0.547*0.125)+(K45*(1-0.547)*0.26))</f>
        <v>0.10579985</v>
      </c>
      <c r="M45" s="60">
        <f t="shared" si="0"/>
        <v>0.10579985</v>
      </c>
      <c r="N45" s="67" t="s">
        <v>251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</row>
    <row r="46" spans="1:205" s="30" customFormat="1" ht="21.75" customHeight="1">
      <c r="A46" s="12"/>
      <c r="B46" s="12" t="s">
        <v>309</v>
      </c>
      <c r="C46" s="64" t="s">
        <v>427</v>
      </c>
      <c r="D46" s="12" t="s">
        <v>411</v>
      </c>
      <c r="E46" s="65">
        <v>43830</v>
      </c>
      <c r="F46" s="66">
        <v>43832</v>
      </c>
      <c r="G46" s="66">
        <v>43837</v>
      </c>
      <c r="H46" s="67"/>
      <c r="I46" s="60">
        <v>0.0187</v>
      </c>
      <c r="J46" s="60">
        <v>0.0037061788580000045</v>
      </c>
      <c r="K46" s="60">
        <v>0.014993821141999998</v>
      </c>
      <c r="L46" s="60">
        <f>+K46-((K46*0.0012*0.125)+(K46*(1-0.0012)*0.26))</f>
        <v>0.011097856644105002</v>
      </c>
      <c r="M46" s="60">
        <f t="shared" si="0"/>
        <v>0.014804035502105007</v>
      </c>
      <c r="N46" s="67" t="s">
        <v>251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</row>
    <row r="47" spans="1:205" s="30" customFormat="1" ht="21.75" customHeight="1">
      <c r="A47" s="12" t="s">
        <v>187</v>
      </c>
      <c r="B47" s="68" t="s">
        <v>187</v>
      </c>
      <c r="C47" s="69" t="s">
        <v>368</v>
      </c>
      <c r="D47" s="12" t="s">
        <v>411</v>
      </c>
      <c r="E47" s="65">
        <v>43830</v>
      </c>
      <c r="F47" s="66">
        <v>43832</v>
      </c>
      <c r="G47" s="66">
        <v>43837</v>
      </c>
      <c r="H47" s="70">
        <v>0.045</v>
      </c>
      <c r="I47" s="60">
        <v>0.31</v>
      </c>
      <c r="J47" s="60">
        <v>0</v>
      </c>
      <c r="K47" s="60">
        <v>0.31</v>
      </c>
      <c r="L47" s="60">
        <f>+K47-((K47*0.0012*0.125)+(K47*(1-0.0012)*0.26))</f>
        <v>0.22945021999999998</v>
      </c>
      <c r="M47" s="60">
        <f t="shared" si="0"/>
        <v>0.22945021999999998</v>
      </c>
      <c r="N47" s="67" t="s">
        <v>251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</row>
    <row r="48" spans="1:205" s="30" customFormat="1" ht="21.75" customHeight="1">
      <c r="A48" s="12" t="s">
        <v>195</v>
      </c>
      <c r="B48" s="73" t="s">
        <v>195</v>
      </c>
      <c r="C48" s="74" t="s">
        <v>369</v>
      </c>
      <c r="D48" s="12" t="s">
        <v>411</v>
      </c>
      <c r="E48" s="65">
        <v>43830</v>
      </c>
      <c r="F48" s="66">
        <v>43832</v>
      </c>
      <c r="G48" s="66">
        <v>43837</v>
      </c>
      <c r="H48" s="67">
        <v>0.045</v>
      </c>
      <c r="I48" s="60">
        <v>0.32</v>
      </c>
      <c r="J48" s="60">
        <v>0</v>
      </c>
      <c r="K48" s="60">
        <v>0.32</v>
      </c>
      <c r="L48" s="60">
        <f>+K48-((K48*0.0012*0.125)+(K48*(1-0.0012)*0.26))</f>
        <v>0.23685183999999998</v>
      </c>
      <c r="M48" s="60">
        <f t="shared" si="0"/>
        <v>0.23685183999999998</v>
      </c>
      <c r="N48" s="67" t="s">
        <v>251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</row>
    <row r="49" spans="1:205" s="30" customFormat="1" ht="21.75" customHeight="1">
      <c r="A49" s="12"/>
      <c r="B49" s="12" t="s">
        <v>312</v>
      </c>
      <c r="C49" s="64" t="s">
        <v>428</v>
      </c>
      <c r="D49" s="12" t="s">
        <v>411</v>
      </c>
      <c r="E49" s="65">
        <v>43830</v>
      </c>
      <c r="F49" s="66">
        <v>43832</v>
      </c>
      <c r="G49" s="66">
        <v>43837</v>
      </c>
      <c r="H49" s="67"/>
      <c r="I49" s="60">
        <v>0.025</v>
      </c>
      <c r="J49" s="60">
        <v>0</v>
      </c>
      <c r="K49" s="60">
        <v>0.025</v>
      </c>
      <c r="L49" s="60">
        <f>+K49-((K49*0.0000000001*0.125)+(K49*(1-0.00000000001)*0.26))</f>
        <v>0.0184999999997525</v>
      </c>
      <c r="M49" s="60">
        <f t="shared" si="0"/>
        <v>0.0184999999997525</v>
      </c>
      <c r="N49" s="67" t="s">
        <v>251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</row>
    <row r="50" spans="1:205" s="30" customFormat="1" ht="21.75" customHeight="1">
      <c r="A50" s="12" t="s">
        <v>190</v>
      </c>
      <c r="B50" s="68" t="s">
        <v>190</v>
      </c>
      <c r="C50" s="69" t="s">
        <v>370</v>
      </c>
      <c r="D50" s="12" t="s">
        <v>411</v>
      </c>
      <c r="E50" s="65">
        <v>43830</v>
      </c>
      <c r="F50" s="66">
        <v>43832</v>
      </c>
      <c r="G50" s="66">
        <v>43837</v>
      </c>
      <c r="H50" s="70">
        <v>0.06</v>
      </c>
      <c r="I50" s="60">
        <v>0.46</v>
      </c>
      <c r="J50" s="60">
        <v>0</v>
      </c>
      <c r="K50" s="60">
        <v>0.46</v>
      </c>
      <c r="L50" s="60">
        <f>+K50-((K50*0.0000000001*0.125)+(K50*(1-0.00000000001)*0.26))</f>
        <v>0.340399999995446</v>
      </c>
      <c r="M50" s="60">
        <f t="shared" si="0"/>
        <v>0.340399999995446</v>
      </c>
      <c r="N50" s="67" t="s">
        <v>251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</row>
    <row r="51" spans="1:205" s="30" customFormat="1" ht="21" customHeight="1">
      <c r="A51" s="12" t="s">
        <v>198</v>
      </c>
      <c r="B51" s="73" t="s">
        <v>198</v>
      </c>
      <c r="C51" s="74" t="s">
        <v>371</v>
      </c>
      <c r="D51" s="12" t="s">
        <v>411</v>
      </c>
      <c r="E51" s="65">
        <v>43830</v>
      </c>
      <c r="F51" s="66">
        <v>43832</v>
      </c>
      <c r="G51" s="66">
        <v>43837</v>
      </c>
      <c r="H51" s="67">
        <v>0.06</v>
      </c>
      <c r="I51" s="60">
        <v>0.46</v>
      </c>
      <c r="J51" s="60">
        <v>0</v>
      </c>
      <c r="K51" s="60">
        <v>0.46</v>
      </c>
      <c r="L51" s="60">
        <f>+K51-((K51*0.0000000001*0.125)+(K51*(1-0.00000000001)*0.26))</f>
        <v>0.340399999995446</v>
      </c>
      <c r="M51" s="60">
        <f t="shared" si="0"/>
        <v>0.340399999995446</v>
      </c>
      <c r="N51" s="67" t="s">
        <v>251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</row>
    <row r="52" spans="1:252" s="30" customFormat="1" ht="21" customHeight="1">
      <c r="A52" s="12"/>
      <c r="B52" s="12" t="s">
        <v>516</v>
      </c>
      <c r="C52" s="64" t="s">
        <v>518</v>
      </c>
      <c r="D52" s="65" t="s">
        <v>411</v>
      </c>
      <c r="E52" s="66">
        <v>43830</v>
      </c>
      <c r="F52" s="66">
        <v>43832</v>
      </c>
      <c r="G52" s="106">
        <v>43837</v>
      </c>
      <c r="H52" s="128"/>
      <c r="I52" s="93">
        <v>0.14</v>
      </c>
      <c r="J52" s="93">
        <v>0</v>
      </c>
      <c r="K52" s="60">
        <v>0.14</v>
      </c>
      <c r="L52" s="60">
        <f>+K52-((K52*0.532*0.125)+(K52*(1-0.532)*0.26))</f>
        <v>0.1136548</v>
      </c>
      <c r="M52" s="60">
        <f t="shared" si="0"/>
        <v>0.1136548</v>
      </c>
      <c r="N52" s="67" t="s">
        <v>251</v>
      </c>
      <c r="IR52" s="237"/>
    </row>
    <row r="53" spans="1:252" s="30" customFormat="1" ht="21" customHeight="1">
      <c r="A53" s="12"/>
      <c r="B53" s="12" t="s">
        <v>517</v>
      </c>
      <c r="C53" s="64" t="s">
        <v>519</v>
      </c>
      <c r="D53" s="65" t="s">
        <v>411</v>
      </c>
      <c r="E53" s="66">
        <v>43830</v>
      </c>
      <c r="F53" s="66">
        <v>43832</v>
      </c>
      <c r="G53" s="106">
        <v>43837</v>
      </c>
      <c r="H53" s="128"/>
      <c r="I53" s="93">
        <v>0.14</v>
      </c>
      <c r="J53" s="93">
        <v>0</v>
      </c>
      <c r="K53" s="60">
        <v>0.14</v>
      </c>
      <c r="L53" s="60">
        <f>+K53-((K53*0.532*0.125)+(K53*(1-0.532)*0.26))</f>
        <v>0.1136548</v>
      </c>
      <c r="M53" s="60">
        <f t="shared" si="0"/>
        <v>0.1136548</v>
      </c>
      <c r="N53" s="67" t="s">
        <v>251</v>
      </c>
      <c r="IR53" s="237"/>
    </row>
    <row r="54" spans="1:205" s="30" customFormat="1" ht="21" customHeight="1">
      <c r="A54" s="12" t="s">
        <v>58</v>
      </c>
      <c r="B54" s="73" t="s">
        <v>173</v>
      </c>
      <c r="C54" s="74" t="s">
        <v>372</v>
      </c>
      <c r="D54" s="12" t="s">
        <v>410</v>
      </c>
      <c r="E54" s="65">
        <v>43830</v>
      </c>
      <c r="F54" s="66">
        <v>43832</v>
      </c>
      <c r="G54" s="66">
        <v>43837</v>
      </c>
      <c r="H54" s="67">
        <v>0.01</v>
      </c>
      <c r="I54" s="60">
        <v>0.012</v>
      </c>
      <c r="J54" s="60">
        <v>0</v>
      </c>
      <c r="K54" s="60">
        <v>0.012</v>
      </c>
      <c r="L54" s="60">
        <f>+K54-((K54*0.437*0.125)+(K54*(1-0.437)*0.26))</f>
        <v>0.00958794</v>
      </c>
      <c r="M54" s="60">
        <f t="shared" si="0"/>
        <v>0.00958794</v>
      </c>
      <c r="N54" s="67" t="s">
        <v>248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</row>
    <row r="55" spans="1:205" s="30" customFormat="1" ht="23.25" customHeight="1">
      <c r="A55" s="12" t="s">
        <v>99</v>
      </c>
      <c r="B55" s="12" t="s">
        <v>150</v>
      </c>
      <c r="C55" s="64" t="s">
        <v>377</v>
      </c>
      <c r="D55" s="12" t="s">
        <v>410</v>
      </c>
      <c r="E55" s="65">
        <v>43830</v>
      </c>
      <c r="F55" s="66">
        <v>43832</v>
      </c>
      <c r="G55" s="66">
        <v>43837</v>
      </c>
      <c r="H55" s="67">
        <v>0.03</v>
      </c>
      <c r="I55" s="60">
        <v>0.0385</v>
      </c>
      <c r="J55" s="60">
        <v>0</v>
      </c>
      <c r="K55" s="60">
        <v>0.0385</v>
      </c>
      <c r="L55" s="60">
        <f>+K55-((K55*0.00000001*0.125)+(K55*(1-0.00000001)*0.26))</f>
        <v>0.028490000051975002</v>
      </c>
      <c r="M55" s="60">
        <f t="shared" si="0"/>
        <v>0.028490000051975002</v>
      </c>
      <c r="N55" s="67" t="s">
        <v>248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</row>
    <row r="56" spans="1:14" s="30" customFormat="1" ht="24.75" customHeight="1">
      <c r="A56" s="12"/>
      <c r="B56" s="12" t="s">
        <v>441</v>
      </c>
      <c r="C56" s="64" t="s">
        <v>444</v>
      </c>
      <c r="D56" s="12" t="s">
        <v>410</v>
      </c>
      <c r="E56" s="65">
        <v>43830</v>
      </c>
      <c r="F56" s="66">
        <v>43832</v>
      </c>
      <c r="G56" s="66">
        <v>43837</v>
      </c>
      <c r="H56" s="67"/>
      <c r="I56" s="60">
        <v>0.025</v>
      </c>
      <c r="J56" s="60">
        <v>0</v>
      </c>
      <c r="K56" s="60">
        <v>0.025</v>
      </c>
      <c r="L56" s="60">
        <f>+K56-((K56*0.2*0.125)+(K56*(1-0.2)*0.26))</f>
        <v>0.019174999999999998</v>
      </c>
      <c r="M56" s="60">
        <f t="shared" si="0"/>
        <v>0.019174999999999998</v>
      </c>
      <c r="N56" s="67" t="s">
        <v>248</v>
      </c>
    </row>
    <row r="57" spans="1:14" s="30" customFormat="1" ht="26.25" customHeight="1">
      <c r="A57" s="12"/>
      <c r="B57" s="12" t="s">
        <v>439</v>
      </c>
      <c r="C57" s="64" t="s">
        <v>442</v>
      </c>
      <c r="D57" s="12" t="s">
        <v>410</v>
      </c>
      <c r="E57" s="65">
        <v>43830</v>
      </c>
      <c r="F57" s="66">
        <v>43832</v>
      </c>
      <c r="G57" s="66">
        <v>43837</v>
      </c>
      <c r="H57" s="67"/>
      <c r="I57" s="60">
        <v>0.45</v>
      </c>
      <c r="J57" s="60">
        <v>0</v>
      </c>
      <c r="K57" s="60">
        <v>0.45</v>
      </c>
      <c r="L57" s="60">
        <f>+K57-((K57*0.2*0.125)+(K57*(1-0.2)*0.26))</f>
        <v>0.34515</v>
      </c>
      <c r="M57" s="60">
        <f t="shared" si="0"/>
        <v>0.34515</v>
      </c>
      <c r="N57" s="67" t="s">
        <v>248</v>
      </c>
    </row>
    <row r="58" spans="1:14" s="30" customFormat="1" ht="26.25" customHeight="1">
      <c r="A58" s="12"/>
      <c r="B58" s="12" t="s">
        <v>440</v>
      </c>
      <c r="C58" s="64" t="s">
        <v>443</v>
      </c>
      <c r="D58" s="12" t="s">
        <v>410</v>
      </c>
      <c r="E58" s="65">
        <v>43830</v>
      </c>
      <c r="F58" s="66">
        <v>43832</v>
      </c>
      <c r="G58" s="66">
        <v>43837</v>
      </c>
      <c r="H58" s="67"/>
      <c r="I58" s="60">
        <v>0.45</v>
      </c>
      <c r="J58" s="60">
        <v>0</v>
      </c>
      <c r="K58" s="60">
        <v>0.45</v>
      </c>
      <c r="L58" s="60">
        <f>+K58-((K58*0.2*0.125)+(K58*(1-0.2)*0.26))</f>
        <v>0.34515</v>
      </c>
      <c r="M58" s="60">
        <f t="shared" si="0"/>
        <v>0.34515</v>
      </c>
      <c r="N58" s="67" t="s">
        <v>248</v>
      </c>
    </row>
    <row r="59" spans="1:205" s="30" customFormat="1" ht="26.25" customHeight="1">
      <c r="A59" s="12"/>
      <c r="B59" s="12" t="s">
        <v>299</v>
      </c>
      <c r="C59" s="64" t="s">
        <v>417</v>
      </c>
      <c r="D59" s="12" t="s">
        <v>410</v>
      </c>
      <c r="E59" s="65">
        <v>43830</v>
      </c>
      <c r="F59" s="66">
        <v>43832</v>
      </c>
      <c r="G59" s="66">
        <v>43837</v>
      </c>
      <c r="H59" s="67"/>
      <c r="I59" s="60">
        <v>0.025</v>
      </c>
      <c r="J59" s="60">
        <v>0.025</v>
      </c>
      <c r="K59" s="60">
        <v>0</v>
      </c>
      <c r="L59" s="60">
        <f>+K59-((K59*0.346*0.125)+(K59*(1-0.346)*0.26))</f>
        <v>0</v>
      </c>
      <c r="M59" s="60">
        <f t="shared" si="0"/>
        <v>0.025</v>
      </c>
      <c r="N59" s="67" t="s">
        <v>248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</row>
    <row r="60" spans="1:205" s="30" customFormat="1" ht="26.25" customHeight="1">
      <c r="A60" s="12" t="s">
        <v>182</v>
      </c>
      <c r="B60" s="68" t="s">
        <v>182</v>
      </c>
      <c r="C60" s="69" t="s">
        <v>378</v>
      </c>
      <c r="D60" s="12" t="s">
        <v>410</v>
      </c>
      <c r="E60" s="65">
        <v>43830</v>
      </c>
      <c r="F60" s="66">
        <v>43832</v>
      </c>
      <c r="G60" s="66">
        <v>43837</v>
      </c>
      <c r="H60" s="70">
        <v>0.02</v>
      </c>
      <c r="I60" s="60">
        <v>0.47</v>
      </c>
      <c r="J60" s="60">
        <v>0.47</v>
      </c>
      <c r="K60" s="60">
        <v>0</v>
      </c>
      <c r="L60" s="60">
        <f>+K60-((K60*0.346*0.125)+(K60*(1-0.346)*0.26))</f>
        <v>0</v>
      </c>
      <c r="M60" s="60">
        <f t="shared" si="0"/>
        <v>0.47</v>
      </c>
      <c r="N60" s="67" t="s">
        <v>248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</row>
    <row r="61" spans="1:205" s="30" customFormat="1" ht="26.25" customHeight="1">
      <c r="A61" s="12" t="s">
        <v>202</v>
      </c>
      <c r="B61" s="73" t="s">
        <v>202</v>
      </c>
      <c r="C61" s="74" t="s">
        <v>379</v>
      </c>
      <c r="D61" s="12" t="s">
        <v>410</v>
      </c>
      <c r="E61" s="65">
        <v>43830</v>
      </c>
      <c r="F61" s="66">
        <v>43832</v>
      </c>
      <c r="G61" s="66">
        <v>43837</v>
      </c>
      <c r="H61" s="67">
        <v>0.02</v>
      </c>
      <c r="I61" s="60">
        <v>0.47</v>
      </c>
      <c r="J61" s="60">
        <v>0.47</v>
      </c>
      <c r="K61" s="60">
        <v>0</v>
      </c>
      <c r="L61" s="60">
        <f>+K61-((K61*0.346*0.125)+(K61*(1-0.346)*0.26))</f>
        <v>0</v>
      </c>
      <c r="M61" s="60">
        <f t="shared" si="0"/>
        <v>0.47</v>
      </c>
      <c r="N61" s="67" t="s">
        <v>248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</row>
    <row r="62" spans="1:205" s="30" customFormat="1" ht="26.25" customHeight="1">
      <c r="A62" s="12" t="s">
        <v>95</v>
      </c>
      <c r="B62" s="12" t="s">
        <v>146</v>
      </c>
      <c r="C62" s="64" t="s">
        <v>380</v>
      </c>
      <c r="D62" s="12" t="s">
        <v>410</v>
      </c>
      <c r="E62" s="65">
        <v>43830</v>
      </c>
      <c r="F62" s="66">
        <v>43832</v>
      </c>
      <c r="G62" s="66">
        <v>43837</v>
      </c>
      <c r="H62" s="67">
        <v>0.025</v>
      </c>
      <c r="I62" s="60">
        <v>0.0372</v>
      </c>
      <c r="J62" s="60">
        <v>0</v>
      </c>
      <c r="K62" s="60">
        <v>0.0372</v>
      </c>
      <c r="L62" s="60">
        <f>+K62-((K62*0.001*0.125)+(K62*(1-0.001)*0.26))</f>
        <v>0.027533021999999997</v>
      </c>
      <c r="M62" s="60">
        <f t="shared" si="0"/>
        <v>0.027533021999999997</v>
      </c>
      <c r="N62" s="67" t="s">
        <v>248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</row>
    <row r="63" spans="1:205" s="30" customFormat="1" ht="26.25" customHeight="1">
      <c r="A63" s="12" t="s">
        <v>10</v>
      </c>
      <c r="B63" s="68" t="s">
        <v>163</v>
      </c>
      <c r="C63" s="69" t="s">
        <v>381</v>
      </c>
      <c r="D63" s="12" t="s">
        <v>410</v>
      </c>
      <c r="E63" s="65">
        <v>43830</v>
      </c>
      <c r="F63" s="66">
        <v>43832</v>
      </c>
      <c r="G63" s="66">
        <v>43837</v>
      </c>
      <c r="H63" s="70">
        <v>0.019</v>
      </c>
      <c r="I63" s="60">
        <v>0.0256</v>
      </c>
      <c r="J63" s="60">
        <v>0</v>
      </c>
      <c r="K63" s="60">
        <v>0.0256</v>
      </c>
      <c r="L63" s="60">
        <f>+K63-((K63*0.001*0.125)+(K63*(1-0.001)*0.26))</f>
        <v>0.018947456</v>
      </c>
      <c r="M63" s="60">
        <f t="shared" si="0"/>
        <v>0.018947456</v>
      </c>
      <c r="N63" s="67" t="s">
        <v>248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</row>
    <row r="64" spans="1:14" s="30" customFormat="1" ht="26.25" customHeight="1">
      <c r="A64" s="12" t="s">
        <v>100</v>
      </c>
      <c r="B64" s="12" t="s">
        <v>151</v>
      </c>
      <c r="C64" s="64" t="s">
        <v>383</v>
      </c>
      <c r="D64" s="12" t="s">
        <v>410</v>
      </c>
      <c r="E64" s="65">
        <v>43830</v>
      </c>
      <c r="F64" s="66">
        <v>43832</v>
      </c>
      <c r="G64" s="66">
        <v>43837</v>
      </c>
      <c r="H64" s="67">
        <v>0.03</v>
      </c>
      <c r="I64" s="60">
        <v>0.0364</v>
      </c>
      <c r="J64" s="60">
        <v>0</v>
      </c>
      <c r="K64" s="60">
        <v>0.0364</v>
      </c>
      <c r="L64" s="60">
        <f>+K64-((K64*0.063*0.125)+(K64*(1-0.063)*0.26))</f>
        <v>0.027245582</v>
      </c>
      <c r="M64" s="60">
        <f t="shared" si="0"/>
        <v>0.027245582</v>
      </c>
      <c r="N64" s="67" t="s">
        <v>248</v>
      </c>
    </row>
    <row r="65" spans="1:14" s="30" customFormat="1" ht="26.25" customHeight="1">
      <c r="A65" s="12" t="s">
        <v>27</v>
      </c>
      <c r="B65" s="68" t="s">
        <v>166</v>
      </c>
      <c r="C65" s="69" t="s">
        <v>384</v>
      </c>
      <c r="D65" s="12" t="s">
        <v>410</v>
      </c>
      <c r="E65" s="65">
        <v>43830</v>
      </c>
      <c r="F65" s="66">
        <v>43832</v>
      </c>
      <c r="G65" s="66">
        <v>43837</v>
      </c>
      <c r="H65" s="70">
        <v>0.026</v>
      </c>
      <c r="I65" s="60">
        <v>0.0315</v>
      </c>
      <c r="J65" s="60">
        <v>0</v>
      </c>
      <c r="K65" s="60">
        <v>0.0315</v>
      </c>
      <c r="L65" s="60">
        <f>+K65-((K65*0.063*0.125)+(K65*(1-0.063)*0.26))</f>
        <v>0.0235779075</v>
      </c>
      <c r="M65" s="60">
        <f t="shared" si="0"/>
        <v>0.0235779075</v>
      </c>
      <c r="N65" s="67" t="s">
        <v>248</v>
      </c>
    </row>
    <row r="66" spans="1:14" s="30" customFormat="1" ht="26.25" customHeight="1">
      <c r="A66" s="12" t="s">
        <v>98</v>
      </c>
      <c r="B66" s="12" t="s">
        <v>149</v>
      </c>
      <c r="C66" s="64" t="s">
        <v>386</v>
      </c>
      <c r="D66" s="12" t="s">
        <v>410</v>
      </c>
      <c r="E66" s="65">
        <v>43830</v>
      </c>
      <c r="F66" s="66">
        <v>43832</v>
      </c>
      <c r="G66" s="66">
        <v>43837</v>
      </c>
      <c r="H66" s="67">
        <v>0.052</v>
      </c>
      <c r="I66" s="60">
        <v>0.0717</v>
      </c>
      <c r="J66" s="60">
        <v>0</v>
      </c>
      <c r="K66" s="60">
        <v>0.0717</v>
      </c>
      <c r="L66" s="60">
        <f>+K66-((K66*0.087*0.125)+(K66*(1-0.087)*0.26))</f>
        <v>0.0539001165</v>
      </c>
      <c r="M66" s="60">
        <f t="shared" si="0"/>
        <v>0.0539001165</v>
      </c>
      <c r="N66" s="67" t="s">
        <v>248</v>
      </c>
    </row>
    <row r="67" spans="1:14" s="30" customFormat="1" ht="26.25" customHeight="1">
      <c r="A67" s="12" t="s">
        <v>11</v>
      </c>
      <c r="B67" s="68" t="s">
        <v>165</v>
      </c>
      <c r="C67" s="69" t="s">
        <v>387</v>
      </c>
      <c r="D67" s="12" t="s">
        <v>410</v>
      </c>
      <c r="E67" s="65">
        <v>43830</v>
      </c>
      <c r="F67" s="66">
        <v>43832</v>
      </c>
      <c r="G67" s="66">
        <v>43837</v>
      </c>
      <c r="H67" s="70">
        <v>0.046</v>
      </c>
      <c r="I67" s="60">
        <v>0.0601</v>
      </c>
      <c r="J67" s="60">
        <v>0</v>
      </c>
      <c r="K67" s="60">
        <v>0.0601</v>
      </c>
      <c r="L67" s="60">
        <f>+K67-((K67*0.087*0.125)+(K67*(1-0.087)*0.26))</f>
        <v>0.045179874499999995</v>
      </c>
      <c r="M67" s="60">
        <f t="shared" si="0"/>
        <v>0.045179874499999995</v>
      </c>
      <c r="N67" s="67" t="s">
        <v>248</v>
      </c>
    </row>
    <row r="68" spans="1:14" s="30" customFormat="1" ht="26.25" customHeight="1">
      <c r="A68" s="12" t="s">
        <v>102</v>
      </c>
      <c r="B68" s="12" t="s">
        <v>153</v>
      </c>
      <c r="C68" s="64" t="s">
        <v>394</v>
      </c>
      <c r="D68" s="12" t="s">
        <v>410</v>
      </c>
      <c r="E68" s="65">
        <v>43830</v>
      </c>
      <c r="F68" s="66">
        <v>43832</v>
      </c>
      <c r="G68" s="66">
        <v>43837</v>
      </c>
      <c r="H68" s="67">
        <v>0.028</v>
      </c>
      <c r="I68" s="60">
        <v>0.0326</v>
      </c>
      <c r="J68" s="60">
        <v>0</v>
      </c>
      <c r="K68" s="60">
        <v>0.0326</v>
      </c>
      <c r="L68" s="60">
        <f>+K68-((K68*0.068*0.125)+(K68*(1-0.068)*0.26))</f>
        <v>0.024423267999999998</v>
      </c>
      <c r="M68" s="60">
        <f t="shared" si="0"/>
        <v>0.024423267999999998</v>
      </c>
      <c r="N68" s="67" t="s">
        <v>248</v>
      </c>
    </row>
    <row r="69" spans="1:14" s="30" customFormat="1" ht="26.25" customHeight="1">
      <c r="A69" s="12" t="s">
        <v>101</v>
      </c>
      <c r="B69" s="12" t="s">
        <v>152</v>
      </c>
      <c r="C69" s="64" t="s">
        <v>395</v>
      </c>
      <c r="D69" s="12" t="s">
        <v>410</v>
      </c>
      <c r="E69" s="65">
        <v>43830</v>
      </c>
      <c r="F69" s="66">
        <v>43832</v>
      </c>
      <c r="G69" s="66">
        <v>43837</v>
      </c>
      <c r="H69" s="67">
        <v>0.024</v>
      </c>
      <c r="I69" s="60">
        <v>0.0357</v>
      </c>
      <c r="J69" s="60">
        <v>0</v>
      </c>
      <c r="K69" s="60">
        <v>0.0357</v>
      </c>
      <c r="L69" s="60">
        <f>+K69-((K69*0.068*0.125)+(K69*(1-0.068)*0.26))</f>
        <v>0.026745726000000004</v>
      </c>
      <c r="M69" s="60">
        <f t="shared" si="0"/>
        <v>0.026745726000000004</v>
      </c>
      <c r="N69" s="67" t="s">
        <v>248</v>
      </c>
    </row>
    <row r="70" spans="1:14" s="30" customFormat="1" ht="26.25" customHeight="1">
      <c r="A70" s="12" t="s">
        <v>12</v>
      </c>
      <c r="B70" s="68" t="s">
        <v>167</v>
      </c>
      <c r="C70" s="69" t="s">
        <v>396</v>
      </c>
      <c r="D70" s="12" t="s">
        <v>410</v>
      </c>
      <c r="E70" s="65">
        <v>43830</v>
      </c>
      <c r="F70" s="66">
        <v>43832</v>
      </c>
      <c r="G70" s="66">
        <v>43837</v>
      </c>
      <c r="H70" s="70">
        <v>0.018</v>
      </c>
      <c r="I70" s="60">
        <v>0.0259</v>
      </c>
      <c r="J70" s="60">
        <v>0</v>
      </c>
      <c r="K70" s="60">
        <v>0.0259</v>
      </c>
      <c r="L70" s="60">
        <f>+K70-((K70*0.068*0.125)+(K70*(1-0.068)*0.26))</f>
        <v>0.019403761999999998</v>
      </c>
      <c r="M70" s="60">
        <f aca="true" t="shared" si="1" ref="M70:M133">J70+L70</f>
        <v>0.019403761999999998</v>
      </c>
      <c r="N70" s="67" t="s">
        <v>248</v>
      </c>
    </row>
    <row r="71" spans="1:14" s="30" customFormat="1" ht="26.25" customHeight="1">
      <c r="A71" s="12"/>
      <c r="B71" s="12" t="s">
        <v>301</v>
      </c>
      <c r="C71" s="64" t="s">
        <v>407</v>
      </c>
      <c r="D71" s="12" t="s">
        <v>410</v>
      </c>
      <c r="E71" s="65">
        <v>43830</v>
      </c>
      <c r="F71" s="66">
        <v>43832</v>
      </c>
      <c r="G71" s="66">
        <v>43837</v>
      </c>
      <c r="H71" s="67"/>
      <c r="I71" s="60">
        <v>0.0275</v>
      </c>
      <c r="J71" s="60">
        <v>0</v>
      </c>
      <c r="K71" s="60">
        <v>0.0275</v>
      </c>
      <c r="L71" s="60">
        <f>+K71-((K71*0.068*0.125)+(K71*(1-0.068)*0.26))</f>
        <v>0.02060245</v>
      </c>
      <c r="M71" s="60">
        <f t="shared" si="1"/>
        <v>0.02060245</v>
      </c>
      <c r="N71" s="67" t="s">
        <v>248</v>
      </c>
    </row>
    <row r="72" spans="1:14" s="30" customFormat="1" ht="26.25" customHeight="1">
      <c r="A72" s="12"/>
      <c r="B72" s="12" t="s">
        <v>304</v>
      </c>
      <c r="C72" s="64" t="s">
        <v>408</v>
      </c>
      <c r="D72" s="12" t="s">
        <v>410</v>
      </c>
      <c r="E72" s="65">
        <v>43830</v>
      </c>
      <c r="F72" s="66">
        <v>43832</v>
      </c>
      <c r="G72" s="66">
        <v>43837</v>
      </c>
      <c r="H72" s="67"/>
      <c r="I72" s="60">
        <v>0.0437</v>
      </c>
      <c r="J72" s="60">
        <v>0.017297000000000003</v>
      </c>
      <c r="K72" s="60">
        <v>0.026403</v>
      </c>
      <c r="L72" s="60">
        <f>+K72-((K72*0.099*0.125)+(K72*(1-0.099)*0.26))</f>
        <v>0.019891096094999998</v>
      </c>
      <c r="M72" s="60">
        <f t="shared" si="1"/>
        <v>0.037188096095</v>
      </c>
      <c r="N72" s="67" t="s">
        <v>248</v>
      </c>
    </row>
    <row r="73" spans="1:252" s="13" customFormat="1" ht="23.25" customHeight="1">
      <c r="A73" s="12" t="s">
        <v>230</v>
      </c>
      <c r="B73" s="68" t="s">
        <v>183</v>
      </c>
      <c r="C73" s="69" t="s">
        <v>398</v>
      </c>
      <c r="D73" s="12" t="s">
        <v>410</v>
      </c>
      <c r="E73" s="65">
        <v>43830</v>
      </c>
      <c r="F73" s="66">
        <v>43832</v>
      </c>
      <c r="G73" s="66">
        <v>43837</v>
      </c>
      <c r="H73" s="70">
        <v>0.035</v>
      </c>
      <c r="I73" s="60">
        <v>0.0438</v>
      </c>
      <c r="J73" s="60">
        <v>1.4778943344360851E-05</v>
      </c>
      <c r="K73" s="60">
        <v>0.04378522105665564</v>
      </c>
      <c r="L73" s="60">
        <f>+K73-((K73*0.099*0.125)+(K73*(1-0.099)*0.26))</f>
        <v>0.03298625306134737</v>
      </c>
      <c r="M73" s="60">
        <f t="shared" si="1"/>
        <v>0.03300103200469173</v>
      </c>
      <c r="N73" s="67" t="s">
        <v>248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204"/>
      <c r="IR73" s="204"/>
    </row>
    <row r="74" spans="1:252" s="4" customFormat="1" ht="26.25" customHeight="1">
      <c r="A74" s="12"/>
      <c r="B74" s="12" t="s">
        <v>313</v>
      </c>
      <c r="C74" s="64" t="s">
        <v>429</v>
      </c>
      <c r="D74" s="12" t="s">
        <v>411</v>
      </c>
      <c r="E74" s="65">
        <v>43830</v>
      </c>
      <c r="F74" s="66">
        <v>43832</v>
      </c>
      <c r="G74" s="66">
        <v>43837</v>
      </c>
      <c r="H74" s="67"/>
      <c r="I74" s="60">
        <v>0.0146</v>
      </c>
      <c r="J74" s="60">
        <v>0</v>
      </c>
      <c r="K74" s="60">
        <v>0.0146</v>
      </c>
      <c r="L74" s="60">
        <f>+K74-((K74*0.099*0.125)+(K74*(1-0.099)*0.26))</f>
        <v>0.010999129</v>
      </c>
      <c r="M74" s="60">
        <f t="shared" si="1"/>
        <v>0.010999129</v>
      </c>
      <c r="N74" s="67" t="s">
        <v>251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204"/>
    </row>
    <row r="75" spans="1:252" s="4" customFormat="1" ht="26.25" customHeight="1">
      <c r="A75" s="12"/>
      <c r="B75" s="12" t="s">
        <v>305</v>
      </c>
      <c r="C75" s="64" t="s">
        <v>409</v>
      </c>
      <c r="D75" s="12" t="s">
        <v>410</v>
      </c>
      <c r="E75" s="65">
        <v>43830</v>
      </c>
      <c r="F75" s="66">
        <v>43832</v>
      </c>
      <c r="G75" s="66">
        <v>43837</v>
      </c>
      <c r="H75" s="67"/>
      <c r="I75" s="60">
        <v>0.0438</v>
      </c>
      <c r="J75" s="60">
        <v>0.00014230103127157084</v>
      </c>
      <c r="K75" s="60">
        <v>0.043657698968728426</v>
      </c>
      <c r="L75" s="60">
        <f>+K75-((K75*0.099*0.125)+(K75*(1-0.099)*0.26))</f>
        <v>0.03289018238357609</v>
      </c>
      <c r="M75" s="60">
        <f t="shared" si="1"/>
        <v>0.033032483414847665</v>
      </c>
      <c r="N75" s="67" t="s">
        <v>248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204"/>
    </row>
    <row r="76" spans="1:252" s="4" customFormat="1" ht="26.25" customHeight="1">
      <c r="A76" s="12"/>
      <c r="B76" s="12" t="s">
        <v>132</v>
      </c>
      <c r="C76" s="64" t="s">
        <v>358</v>
      </c>
      <c r="D76" s="65" t="s">
        <v>410</v>
      </c>
      <c r="E76" s="66">
        <v>43857</v>
      </c>
      <c r="F76" s="66">
        <v>43858</v>
      </c>
      <c r="G76" s="66">
        <v>43861</v>
      </c>
      <c r="H76" s="60"/>
      <c r="I76" s="93">
        <v>0.0343</v>
      </c>
      <c r="J76" s="93">
        <v>0</v>
      </c>
      <c r="K76" s="60">
        <v>0.0343</v>
      </c>
      <c r="L76" s="60">
        <f>+K76-((K76*0.268*0.125)+(K76*(1-0.268)*0.26))</f>
        <v>0.026622973999999997</v>
      </c>
      <c r="M76" s="67">
        <f t="shared" si="1"/>
        <v>0.026622973999999997</v>
      </c>
      <c r="N76" s="67" t="s">
        <v>249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12"/>
    </row>
    <row r="77" spans="1:252" s="4" customFormat="1" ht="26.25" customHeight="1">
      <c r="A77" s="12" t="s">
        <v>121</v>
      </c>
      <c r="B77" s="12" t="s">
        <v>227</v>
      </c>
      <c r="C77" s="64" t="s">
        <v>359</v>
      </c>
      <c r="D77" s="65" t="s">
        <v>410</v>
      </c>
      <c r="E77" s="66">
        <v>43857</v>
      </c>
      <c r="F77" s="66">
        <v>43858</v>
      </c>
      <c r="G77" s="66">
        <v>43861</v>
      </c>
      <c r="H77" s="60"/>
      <c r="I77" s="93">
        <v>0.0342</v>
      </c>
      <c r="J77" s="93">
        <v>0</v>
      </c>
      <c r="K77" s="60">
        <v>0.0342</v>
      </c>
      <c r="L77" s="60">
        <f>+K77-((K77*0.268*0.125)+(K77*(1-0.268)*0.26))</f>
        <v>0.026545356</v>
      </c>
      <c r="M77" s="67">
        <f t="shared" si="1"/>
        <v>0.026545356</v>
      </c>
      <c r="N77" s="67" t="s">
        <v>249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12"/>
    </row>
    <row r="78" spans="1:252" s="4" customFormat="1" ht="26.25" customHeight="1">
      <c r="A78" s="12"/>
      <c r="B78" s="12" t="s">
        <v>156</v>
      </c>
      <c r="C78" s="64" t="s">
        <v>473</v>
      </c>
      <c r="D78" s="65" t="s">
        <v>498</v>
      </c>
      <c r="E78" s="66">
        <v>43857</v>
      </c>
      <c r="F78" s="66">
        <v>43858</v>
      </c>
      <c r="G78" s="66">
        <v>43861</v>
      </c>
      <c r="H78" s="60"/>
      <c r="I78" s="93">
        <v>0.1407</v>
      </c>
      <c r="J78" s="93">
        <v>0</v>
      </c>
      <c r="K78" s="60">
        <v>0.1407</v>
      </c>
      <c r="L78" s="60">
        <f>+K78-((K78*0.001*0.125)+(K78*(1-0.001)*0.26))</f>
        <v>0.1041369945</v>
      </c>
      <c r="M78" s="67">
        <f t="shared" si="1"/>
        <v>0.1041369945</v>
      </c>
      <c r="N78" s="67" t="s">
        <v>250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12"/>
    </row>
    <row r="79" spans="1:252" s="4" customFormat="1" ht="26.25" customHeight="1">
      <c r="A79" s="12"/>
      <c r="B79" s="12" t="s">
        <v>178</v>
      </c>
      <c r="C79" s="64" t="s">
        <v>474</v>
      </c>
      <c r="D79" s="65" t="s">
        <v>498</v>
      </c>
      <c r="E79" s="66">
        <v>43857</v>
      </c>
      <c r="F79" s="66">
        <v>43858</v>
      </c>
      <c r="G79" s="66">
        <v>43861</v>
      </c>
      <c r="H79" s="60"/>
      <c r="I79" s="93">
        <v>0.1223</v>
      </c>
      <c r="J79" s="93">
        <v>0</v>
      </c>
      <c r="K79" s="60">
        <v>0.1223</v>
      </c>
      <c r="L79" s="60">
        <f>+K79-((K79*0.001*0.125)+(K79*(1-0.001)*0.26))</f>
        <v>0.09051851050000001</v>
      </c>
      <c r="M79" s="67">
        <f t="shared" si="1"/>
        <v>0.09051851050000001</v>
      </c>
      <c r="N79" s="67" t="s">
        <v>250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12"/>
    </row>
    <row r="80" spans="1:252" s="4" customFormat="1" ht="26.25" customHeight="1">
      <c r="A80" s="12"/>
      <c r="B80" s="12" t="s">
        <v>133</v>
      </c>
      <c r="C80" s="64" t="s">
        <v>476</v>
      </c>
      <c r="D80" s="65" t="s">
        <v>410</v>
      </c>
      <c r="E80" s="66">
        <v>43857</v>
      </c>
      <c r="F80" s="66">
        <v>43858</v>
      </c>
      <c r="G80" s="66">
        <v>43861</v>
      </c>
      <c r="H80" s="60"/>
      <c r="I80" s="93">
        <v>0.0577</v>
      </c>
      <c r="J80" s="93">
        <v>0</v>
      </c>
      <c r="K80" s="60">
        <v>0.0577</v>
      </c>
      <c r="L80" s="60">
        <f>+K80-((K80*0.0000000001*0.125)+(K80*(1-0.0000000001)*0.26))</f>
        <v>0.04269800000077895</v>
      </c>
      <c r="M80" s="67">
        <f t="shared" si="1"/>
        <v>0.04269800000077895</v>
      </c>
      <c r="N80" s="67" t="s">
        <v>249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12"/>
    </row>
    <row r="81" spans="1:252" s="4" customFormat="1" ht="26.25" customHeight="1">
      <c r="A81" s="12"/>
      <c r="B81" s="12" t="s">
        <v>155</v>
      </c>
      <c r="C81" s="64" t="s">
        <v>477</v>
      </c>
      <c r="D81" s="65" t="s">
        <v>498</v>
      </c>
      <c r="E81" s="66">
        <v>43857</v>
      </c>
      <c r="F81" s="66">
        <v>43858</v>
      </c>
      <c r="G81" s="66">
        <v>43861</v>
      </c>
      <c r="H81" s="60"/>
      <c r="I81" s="93">
        <v>0.1703</v>
      </c>
      <c r="J81" s="93">
        <v>0</v>
      </c>
      <c r="K81" s="60">
        <v>0.1703</v>
      </c>
      <c r="L81" s="60">
        <f>+K81-((K81*0.0000000001*0.125)+(K81*(1-0.0000000001)*0.26))</f>
        <v>0.12602200000229904</v>
      </c>
      <c r="M81" s="67">
        <f t="shared" si="1"/>
        <v>0.12602200000229904</v>
      </c>
      <c r="N81" s="67" t="s">
        <v>250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12"/>
    </row>
    <row r="82" spans="1:252" s="4" customFormat="1" ht="26.25" customHeight="1">
      <c r="A82" s="12"/>
      <c r="B82" s="12" t="s">
        <v>177</v>
      </c>
      <c r="C82" s="64" t="s">
        <v>478</v>
      </c>
      <c r="D82" s="65" t="s">
        <v>498</v>
      </c>
      <c r="E82" s="66">
        <v>43857</v>
      </c>
      <c r="F82" s="66">
        <v>43858</v>
      </c>
      <c r="G82" s="66">
        <v>43861</v>
      </c>
      <c r="H82" s="60"/>
      <c r="I82" s="93">
        <v>0.1404</v>
      </c>
      <c r="J82" s="93">
        <v>0</v>
      </c>
      <c r="K82" s="60">
        <v>0.1404</v>
      </c>
      <c r="L82" s="60">
        <f>+K82-((K82*0.0000000001*0.125)+(K82*(1-0.0000000001)*0.26))</f>
        <v>0.10389600000189539</v>
      </c>
      <c r="M82" s="67">
        <f t="shared" si="1"/>
        <v>0.10389600000189539</v>
      </c>
      <c r="N82" s="67" t="s">
        <v>250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12"/>
    </row>
    <row r="83" spans="1:252" s="4" customFormat="1" ht="26.25" customHeight="1">
      <c r="A83" s="12"/>
      <c r="B83" s="12" t="s">
        <v>158</v>
      </c>
      <c r="C83" s="64" t="s">
        <v>373</v>
      </c>
      <c r="D83" s="65" t="s">
        <v>498</v>
      </c>
      <c r="E83" s="66">
        <v>43857</v>
      </c>
      <c r="F83" s="66">
        <v>43858</v>
      </c>
      <c r="G83" s="66">
        <v>43861</v>
      </c>
      <c r="H83" s="60"/>
      <c r="I83" s="93">
        <v>0.0897</v>
      </c>
      <c r="J83" s="93">
        <v>0</v>
      </c>
      <c r="K83" s="60">
        <v>0.0897</v>
      </c>
      <c r="L83" s="60">
        <f>+K83-((K83*0.242*0.125)+(K83*(1-0.242)*0.26))</f>
        <v>0.069308499</v>
      </c>
      <c r="M83" s="67">
        <f t="shared" si="1"/>
        <v>0.069308499</v>
      </c>
      <c r="N83" s="67" t="s">
        <v>250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12"/>
    </row>
    <row r="84" spans="1:252" s="4" customFormat="1" ht="26.25" customHeight="1">
      <c r="A84" s="12"/>
      <c r="B84" s="12" t="s">
        <v>134</v>
      </c>
      <c r="C84" s="64" t="s">
        <v>374</v>
      </c>
      <c r="D84" s="65" t="s">
        <v>410</v>
      </c>
      <c r="E84" s="66">
        <v>43857</v>
      </c>
      <c r="F84" s="66">
        <v>43858</v>
      </c>
      <c r="G84" s="66">
        <v>43861</v>
      </c>
      <c r="H84" s="60"/>
      <c r="I84" s="93">
        <v>0.0552</v>
      </c>
      <c r="J84" s="93">
        <v>0</v>
      </c>
      <c r="K84" s="60">
        <v>0.0552</v>
      </c>
      <c r="L84" s="60">
        <f>+K84-((K84*0.242*0.125)+(K84*(1-0.242)*0.26))</f>
        <v>0.042651384</v>
      </c>
      <c r="M84" s="67">
        <f t="shared" si="1"/>
        <v>0.042651384</v>
      </c>
      <c r="N84" s="67" t="s">
        <v>249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12"/>
    </row>
    <row r="85" spans="1:252" s="4" customFormat="1" ht="26.25" customHeight="1">
      <c r="A85" s="12"/>
      <c r="B85" s="12" t="s">
        <v>157</v>
      </c>
      <c r="C85" s="64" t="s">
        <v>375</v>
      </c>
      <c r="D85" s="65" t="s">
        <v>498</v>
      </c>
      <c r="E85" s="66">
        <v>43857</v>
      </c>
      <c r="F85" s="66">
        <v>43858</v>
      </c>
      <c r="G85" s="66">
        <v>43861</v>
      </c>
      <c r="H85" s="60"/>
      <c r="I85" s="93">
        <v>0.1028</v>
      </c>
      <c r="J85" s="93">
        <v>0.01593321000000001</v>
      </c>
      <c r="K85" s="60">
        <v>0.08686678999999999</v>
      </c>
      <c r="L85" s="60">
        <f>+K85-((K85*0.242*0.125)+(K85*(1-0.242)*0.26))</f>
        <v>0.06711936262929999</v>
      </c>
      <c r="M85" s="67">
        <f t="shared" si="1"/>
        <v>0.08305257262929999</v>
      </c>
      <c r="N85" s="67" t="s">
        <v>250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12"/>
    </row>
    <row r="86" spans="1:252" s="4" customFormat="1" ht="26.25" customHeight="1">
      <c r="A86" s="12"/>
      <c r="B86" s="12" t="s">
        <v>168</v>
      </c>
      <c r="C86" s="64" t="s">
        <v>376</v>
      </c>
      <c r="D86" s="65" t="s">
        <v>410</v>
      </c>
      <c r="E86" s="66">
        <v>43857</v>
      </c>
      <c r="F86" s="66">
        <v>43858</v>
      </c>
      <c r="G86" s="66">
        <v>43861</v>
      </c>
      <c r="H86" s="67">
        <v>0.0425</v>
      </c>
      <c r="I86" s="93">
        <v>0.0437</v>
      </c>
      <c r="J86" s="93">
        <v>0</v>
      </c>
      <c r="K86" s="60">
        <v>0.0437</v>
      </c>
      <c r="L86" s="60">
        <f>+K86-((K86*0.242*0.125)+(K86*(1-0.242)*0.26))</f>
        <v>0.033765679</v>
      </c>
      <c r="M86" s="67">
        <f t="shared" si="1"/>
        <v>0.033765679</v>
      </c>
      <c r="N86" s="67" t="s">
        <v>249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12"/>
    </row>
    <row r="87" spans="1:252" s="4" customFormat="1" ht="26.25" customHeight="1">
      <c r="A87" s="12"/>
      <c r="B87" s="12" t="s">
        <v>136</v>
      </c>
      <c r="C87" s="64" t="s">
        <v>388</v>
      </c>
      <c r="D87" s="65" t="s">
        <v>410</v>
      </c>
      <c r="E87" s="66">
        <v>43857</v>
      </c>
      <c r="F87" s="66">
        <v>43858</v>
      </c>
      <c r="G87" s="66">
        <v>43861</v>
      </c>
      <c r="H87" s="60"/>
      <c r="I87" s="93">
        <v>0.0235</v>
      </c>
      <c r="J87" s="93">
        <v>0</v>
      </c>
      <c r="K87" s="60">
        <v>0.0235</v>
      </c>
      <c r="L87" s="60">
        <f aca="true" t="shared" si="2" ref="L87:L92">+K87-((K87*0.171*0.125)+(K87*(1-0.171)*0.26))</f>
        <v>0.0179324975</v>
      </c>
      <c r="M87" s="67">
        <f t="shared" si="1"/>
        <v>0.0179324975</v>
      </c>
      <c r="N87" s="67" t="s">
        <v>249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12"/>
    </row>
    <row r="88" spans="1:252" s="4" customFormat="1" ht="26.25" customHeight="1">
      <c r="A88" s="12"/>
      <c r="B88" s="12" t="s">
        <v>137</v>
      </c>
      <c r="C88" s="64" t="s">
        <v>389</v>
      </c>
      <c r="D88" s="65" t="s">
        <v>410</v>
      </c>
      <c r="E88" s="66">
        <v>43857</v>
      </c>
      <c r="F88" s="66">
        <v>43858</v>
      </c>
      <c r="G88" s="66">
        <v>43861</v>
      </c>
      <c r="H88" s="60"/>
      <c r="I88" s="93">
        <v>0.0423</v>
      </c>
      <c r="J88" s="93">
        <v>0</v>
      </c>
      <c r="K88" s="60">
        <v>0.0423</v>
      </c>
      <c r="L88" s="60">
        <f t="shared" si="2"/>
        <v>0.0322784955</v>
      </c>
      <c r="M88" s="67">
        <f t="shared" si="1"/>
        <v>0.0322784955</v>
      </c>
      <c r="N88" s="67" t="s">
        <v>249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12"/>
    </row>
    <row r="89" spans="1:252" s="4" customFormat="1" ht="26.25" customHeight="1">
      <c r="A89" s="12"/>
      <c r="B89" s="12" t="s">
        <v>135</v>
      </c>
      <c r="C89" s="64" t="s">
        <v>390</v>
      </c>
      <c r="D89" s="65" t="s">
        <v>410</v>
      </c>
      <c r="E89" s="66">
        <v>43857</v>
      </c>
      <c r="F89" s="66">
        <v>43858</v>
      </c>
      <c r="G89" s="66">
        <v>43861</v>
      </c>
      <c r="H89" s="60"/>
      <c r="I89" s="93">
        <v>0.0547</v>
      </c>
      <c r="J89" s="93">
        <v>0</v>
      </c>
      <c r="K89" s="60">
        <v>0.0547</v>
      </c>
      <c r="L89" s="60">
        <f t="shared" si="2"/>
        <v>0.04174074949999999</v>
      </c>
      <c r="M89" s="67">
        <f t="shared" si="1"/>
        <v>0.04174074949999999</v>
      </c>
      <c r="N89" s="67" t="s">
        <v>249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12"/>
    </row>
    <row r="90" spans="1:252" s="4" customFormat="1" ht="26.25" customHeight="1">
      <c r="A90" s="12"/>
      <c r="B90" s="12" t="s">
        <v>170</v>
      </c>
      <c r="C90" s="64" t="s">
        <v>391</v>
      </c>
      <c r="D90" s="65" t="s">
        <v>410</v>
      </c>
      <c r="E90" s="66">
        <v>43857</v>
      </c>
      <c r="F90" s="66">
        <v>43858</v>
      </c>
      <c r="G90" s="66">
        <v>43861</v>
      </c>
      <c r="H90" s="60"/>
      <c r="I90" s="93">
        <v>0.0235</v>
      </c>
      <c r="J90" s="93">
        <v>0</v>
      </c>
      <c r="K90" s="60">
        <v>0.0235</v>
      </c>
      <c r="L90" s="60">
        <f t="shared" si="2"/>
        <v>0.0179324975</v>
      </c>
      <c r="M90" s="67">
        <f t="shared" si="1"/>
        <v>0.0179324975</v>
      </c>
      <c r="N90" s="67" t="s">
        <v>249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12"/>
    </row>
    <row r="91" spans="1:252" s="4" customFormat="1" ht="26.25" customHeight="1">
      <c r="A91" s="12"/>
      <c r="B91" s="12" t="s">
        <v>171</v>
      </c>
      <c r="C91" s="64" t="s">
        <v>392</v>
      </c>
      <c r="D91" s="65" t="s">
        <v>410</v>
      </c>
      <c r="E91" s="66">
        <v>43857</v>
      </c>
      <c r="F91" s="66">
        <v>43858</v>
      </c>
      <c r="G91" s="66">
        <v>43861</v>
      </c>
      <c r="H91" s="60"/>
      <c r="I91" s="93">
        <v>0.0423</v>
      </c>
      <c r="J91" s="93">
        <v>0</v>
      </c>
      <c r="K91" s="60">
        <v>0.0423</v>
      </c>
      <c r="L91" s="60">
        <f t="shared" si="2"/>
        <v>0.0322784955</v>
      </c>
      <c r="M91" s="67">
        <f t="shared" si="1"/>
        <v>0.0322784955</v>
      </c>
      <c r="N91" s="67" t="s">
        <v>249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12"/>
    </row>
    <row r="92" spans="1:252" s="4" customFormat="1" ht="26.25" customHeight="1">
      <c r="A92" s="12"/>
      <c r="B92" s="12" t="s">
        <v>172</v>
      </c>
      <c r="C92" s="64" t="s">
        <v>393</v>
      </c>
      <c r="D92" s="65" t="s">
        <v>410</v>
      </c>
      <c r="E92" s="66">
        <v>43857</v>
      </c>
      <c r="F92" s="66">
        <v>43858</v>
      </c>
      <c r="G92" s="66">
        <v>43861</v>
      </c>
      <c r="H92" s="60"/>
      <c r="I92" s="93">
        <v>0.0546</v>
      </c>
      <c r="J92" s="93">
        <v>0</v>
      </c>
      <c r="K92" s="60">
        <v>0.0546</v>
      </c>
      <c r="L92" s="60">
        <f t="shared" si="2"/>
        <v>0.041664441</v>
      </c>
      <c r="M92" s="67">
        <f t="shared" si="1"/>
        <v>0.041664441</v>
      </c>
      <c r="N92" s="67" t="s">
        <v>249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12"/>
    </row>
    <row r="93" spans="1:252" s="4" customFormat="1" ht="26.25" customHeight="1">
      <c r="A93" s="12"/>
      <c r="B93" s="12" t="s">
        <v>481</v>
      </c>
      <c r="C93" s="64" t="s">
        <v>483</v>
      </c>
      <c r="D93" s="65" t="s">
        <v>412</v>
      </c>
      <c r="E93" s="66">
        <v>43857</v>
      </c>
      <c r="F93" s="66">
        <v>43858</v>
      </c>
      <c r="G93" s="66">
        <v>43861</v>
      </c>
      <c r="H93" s="60"/>
      <c r="I93" s="93">
        <v>0.20009</v>
      </c>
      <c r="J93" s="93">
        <v>0</v>
      </c>
      <c r="K93" s="60">
        <v>0.20009</v>
      </c>
      <c r="L93" s="60">
        <f>+K93-((K93*0.159*0.125)+(K93*(1-0.159)*0.26))</f>
        <v>0.15236153185</v>
      </c>
      <c r="M93" s="165">
        <f t="shared" si="1"/>
        <v>0.15236153185</v>
      </c>
      <c r="N93" s="67" t="s">
        <v>497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12"/>
    </row>
    <row r="94" spans="1:252" s="4" customFormat="1" ht="26.25" customHeight="1">
      <c r="A94" s="12"/>
      <c r="B94" s="12" t="s">
        <v>154</v>
      </c>
      <c r="C94" s="64" t="s">
        <v>399</v>
      </c>
      <c r="D94" s="65" t="s">
        <v>498</v>
      </c>
      <c r="E94" s="66">
        <v>43857</v>
      </c>
      <c r="F94" s="66">
        <v>43858</v>
      </c>
      <c r="G94" s="66">
        <v>43861</v>
      </c>
      <c r="H94" s="60"/>
      <c r="I94" s="93">
        <v>0.1088</v>
      </c>
      <c r="J94" s="93">
        <v>0</v>
      </c>
      <c r="K94" s="60">
        <v>0.1088</v>
      </c>
      <c r="L94" s="60">
        <f>+K94-((K94*0.159*0.125)+(K94*(1-0.159)*0.26))</f>
        <v>0.08284739199999999</v>
      </c>
      <c r="M94" s="67">
        <f t="shared" si="1"/>
        <v>0.08284739199999999</v>
      </c>
      <c r="N94" s="67" t="s">
        <v>250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12"/>
    </row>
    <row r="95" spans="1:252" s="4" customFormat="1" ht="26.25" customHeight="1">
      <c r="A95" s="12"/>
      <c r="B95" s="12" t="s">
        <v>482</v>
      </c>
      <c r="C95" s="64" t="s">
        <v>484</v>
      </c>
      <c r="D95" s="65" t="s">
        <v>412</v>
      </c>
      <c r="E95" s="66">
        <v>43857</v>
      </c>
      <c r="F95" s="66">
        <v>43858</v>
      </c>
      <c r="G95" s="66">
        <v>43861</v>
      </c>
      <c r="H95" s="60"/>
      <c r="I95" s="93">
        <v>0.192445</v>
      </c>
      <c r="J95" s="93">
        <v>0</v>
      </c>
      <c r="K95" s="60">
        <v>0.192445</v>
      </c>
      <c r="L95" s="60">
        <f>+K95-((K95*0.159*0.125)+(K95*(1-0.159)*0.26))</f>
        <v>0.146540131925</v>
      </c>
      <c r="M95" s="165">
        <f t="shared" si="1"/>
        <v>0.146540131925</v>
      </c>
      <c r="N95" s="67" t="s">
        <v>497</v>
      </c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12"/>
    </row>
    <row r="96" spans="1:252" s="4" customFormat="1" ht="26.25" customHeight="1">
      <c r="A96" s="12"/>
      <c r="B96" s="12" t="s">
        <v>169</v>
      </c>
      <c r="C96" s="64" t="s">
        <v>400</v>
      </c>
      <c r="D96" s="65" t="s">
        <v>410</v>
      </c>
      <c r="E96" s="66">
        <v>43857</v>
      </c>
      <c r="F96" s="66">
        <v>43858</v>
      </c>
      <c r="G96" s="66">
        <v>43861</v>
      </c>
      <c r="H96" s="60"/>
      <c r="I96" s="93">
        <v>0.0503</v>
      </c>
      <c r="J96" s="93">
        <v>0</v>
      </c>
      <c r="K96" s="60">
        <v>0.0503</v>
      </c>
      <c r="L96" s="60">
        <f>+K96-((K96*0.159*0.125)+(K96*(1-0.159)*0.26))</f>
        <v>0.0383016895</v>
      </c>
      <c r="M96" s="67">
        <f t="shared" si="1"/>
        <v>0.0383016895</v>
      </c>
      <c r="N96" s="67" t="s">
        <v>249</v>
      </c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12"/>
    </row>
    <row r="97" spans="1:252" s="29" customFormat="1" ht="23.25" customHeight="1">
      <c r="A97" s="12"/>
      <c r="B97" s="12" t="s">
        <v>514</v>
      </c>
      <c r="C97" s="64" t="s">
        <v>515</v>
      </c>
      <c r="D97" s="65" t="s">
        <v>411</v>
      </c>
      <c r="E97" s="66">
        <v>43861</v>
      </c>
      <c r="F97" s="66">
        <v>43864</v>
      </c>
      <c r="G97" s="106">
        <v>43867</v>
      </c>
      <c r="H97" s="128">
        <v>0.03</v>
      </c>
      <c r="I97" s="93">
        <v>0.1916</v>
      </c>
      <c r="J97" s="93">
        <v>0</v>
      </c>
      <c r="K97" s="60">
        <v>0.1916</v>
      </c>
      <c r="L97" s="60">
        <f>+K97-((K97*0.766*0.125)+(K97*(1-0.766)*0.26))</f>
        <v>0.161597356</v>
      </c>
      <c r="M97" s="67">
        <f t="shared" si="1"/>
        <v>0.161597356</v>
      </c>
      <c r="N97" s="67" t="s">
        <v>251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12"/>
    </row>
    <row r="98" spans="1:252" s="29" customFormat="1" ht="23.25" customHeight="1">
      <c r="A98" s="12"/>
      <c r="B98" s="12" t="s">
        <v>310</v>
      </c>
      <c r="C98" s="64" t="s">
        <v>424</v>
      </c>
      <c r="D98" s="65" t="s">
        <v>411</v>
      </c>
      <c r="E98" s="66">
        <v>43861</v>
      </c>
      <c r="F98" s="66">
        <v>43864</v>
      </c>
      <c r="G98" s="106">
        <v>43867</v>
      </c>
      <c r="H98" s="70">
        <v>0.05</v>
      </c>
      <c r="I98" s="93">
        <v>0.0209</v>
      </c>
      <c r="J98" s="93">
        <v>0</v>
      </c>
      <c r="K98" s="60">
        <v>0.0209</v>
      </c>
      <c r="L98" s="60">
        <f>+K98-((K98*0.04*0.125)+(K98*(1-0.04)*0.26))</f>
        <v>0.015578859999999998</v>
      </c>
      <c r="M98" s="67">
        <f t="shared" si="1"/>
        <v>0.015578859999999998</v>
      </c>
      <c r="N98" s="67" t="s">
        <v>251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12"/>
    </row>
    <row r="99" spans="1:252" s="29" customFormat="1" ht="23.25" customHeight="1">
      <c r="A99" s="12" t="s">
        <v>188</v>
      </c>
      <c r="B99" s="12" t="s">
        <v>188</v>
      </c>
      <c r="C99" s="64" t="s">
        <v>339</v>
      </c>
      <c r="D99" s="65" t="s">
        <v>411</v>
      </c>
      <c r="E99" s="66">
        <v>43861</v>
      </c>
      <c r="F99" s="66">
        <v>43864</v>
      </c>
      <c r="G99" s="106">
        <v>43867</v>
      </c>
      <c r="H99" s="70">
        <v>0.05</v>
      </c>
      <c r="I99" s="93">
        <v>0.3655</v>
      </c>
      <c r="J99" s="93">
        <v>0</v>
      </c>
      <c r="K99" s="60">
        <v>0.3655</v>
      </c>
      <c r="L99" s="60">
        <f>+K99-((K99*0.04*0.125)+(K99*(1-0.04)*0.26))</f>
        <v>0.2724437</v>
      </c>
      <c r="M99" s="67">
        <f t="shared" si="1"/>
        <v>0.2724437</v>
      </c>
      <c r="N99" s="67" t="s">
        <v>251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12"/>
    </row>
    <row r="100" spans="1:252" s="29" customFormat="1" ht="23.25" customHeight="1">
      <c r="A100" s="12" t="s">
        <v>196</v>
      </c>
      <c r="B100" s="12" t="s">
        <v>196</v>
      </c>
      <c r="C100" s="64" t="s">
        <v>340</v>
      </c>
      <c r="D100" s="65" t="s">
        <v>411</v>
      </c>
      <c r="E100" s="66">
        <v>43861</v>
      </c>
      <c r="F100" s="66">
        <v>43864</v>
      </c>
      <c r="G100" s="106">
        <v>43867</v>
      </c>
      <c r="H100" s="70">
        <v>0.05</v>
      </c>
      <c r="I100" s="93">
        <v>0.3778</v>
      </c>
      <c r="J100" s="93">
        <v>0</v>
      </c>
      <c r="K100" s="60">
        <v>0.3778</v>
      </c>
      <c r="L100" s="60">
        <f>+K100-((K100*0.04*0.125)+(K100*(1-0.04)*0.26))</f>
        <v>0.28161212</v>
      </c>
      <c r="M100" s="67">
        <f t="shared" si="1"/>
        <v>0.28161212</v>
      </c>
      <c r="N100" s="67" t="s">
        <v>251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12"/>
    </row>
    <row r="101" spans="1:252" s="29" customFormat="1" ht="23.25" customHeight="1">
      <c r="A101" s="12" t="s">
        <v>229</v>
      </c>
      <c r="B101" s="12" t="s">
        <v>191</v>
      </c>
      <c r="C101" s="64" t="s">
        <v>346</v>
      </c>
      <c r="D101" s="65" t="s">
        <v>411</v>
      </c>
      <c r="E101" s="66">
        <v>43861</v>
      </c>
      <c r="F101" s="66">
        <v>43864</v>
      </c>
      <c r="G101" s="106">
        <v>43867</v>
      </c>
      <c r="H101" s="67">
        <v>0.035</v>
      </c>
      <c r="I101" s="93">
        <v>0.0147</v>
      </c>
      <c r="J101" s="93">
        <v>0</v>
      </c>
      <c r="K101" s="60">
        <v>0.0147</v>
      </c>
      <c r="L101" s="60">
        <f>+K101-((K101*0.837*0.125)+(K101*(1-0.837)*0.26))</f>
        <v>0.0125390265</v>
      </c>
      <c r="M101" s="67">
        <f t="shared" si="1"/>
        <v>0.0125390265</v>
      </c>
      <c r="N101" s="67" t="s">
        <v>251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12"/>
    </row>
    <row r="102" spans="1:252" s="29" customFormat="1" ht="23.25" customHeight="1">
      <c r="A102" s="12" t="s">
        <v>231</v>
      </c>
      <c r="B102" s="12" t="s">
        <v>199</v>
      </c>
      <c r="C102" s="64" t="s">
        <v>347</v>
      </c>
      <c r="D102" s="65" t="s">
        <v>411</v>
      </c>
      <c r="E102" s="66">
        <v>43861</v>
      </c>
      <c r="F102" s="66">
        <v>43864</v>
      </c>
      <c r="G102" s="106">
        <v>43867</v>
      </c>
      <c r="H102" s="67">
        <v>0.035</v>
      </c>
      <c r="I102" s="93">
        <v>0.0147</v>
      </c>
      <c r="J102" s="93">
        <v>0</v>
      </c>
      <c r="K102" s="60">
        <v>0.0147</v>
      </c>
      <c r="L102" s="60">
        <f>+K102-((K102*0.837*0.125)+(K102*(1-0.837)*0.26))</f>
        <v>0.0125390265</v>
      </c>
      <c r="M102" s="67">
        <f t="shared" si="1"/>
        <v>0.0125390265</v>
      </c>
      <c r="N102" s="67" t="s">
        <v>251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12"/>
    </row>
    <row r="103" spans="1:252" s="29" customFormat="1" ht="23.25" customHeight="1">
      <c r="A103" s="12"/>
      <c r="B103" s="12" t="s">
        <v>306</v>
      </c>
      <c r="C103" s="64" t="s">
        <v>430</v>
      </c>
      <c r="D103" s="65" t="s">
        <v>411</v>
      </c>
      <c r="E103" s="66">
        <v>43861</v>
      </c>
      <c r="F103" s="66">
        <v>43864</v>
      </c>
      <c r="G103" s="106">
        <v>43867</v>
      </c>
      <c r="H103" s="67">
        <v>0.02</v>
      </c>
      <c r="I103" s="93">
        <v>0.0084</v>
      </c>
      <c r="J103" s="93">
        <v>0</v>
      </c>
      <c r="K103" s="60">
        <v>0.0084</v>
      </c>
      <c r="L103" s="60">
        <f>+K103-((K103*0.0000001*0.125)+(K103*(1-0.0000001)*0.26))</f>
        <v>0.0062160001134</v>
      </c>
      <c r="M103" s="67">
        <f t="shared" si="1"/>
        <v>0.0062160001134</v>
      </c>
      <c r="N103" s="67" t="s">
        <v>251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12"/>
    </row>
    <row r="104" spans="1:252" s="29" customFormat="1" ht="23.25" customHeight="1">
      <c r="A104" s="12" t="s">
        <v>184</v>
      </c>
      <c r="B104" s="12" t="s">
        <v>184</v>
      </c>
      <c r="C104" s="64" t="s">
        <v>354</v>
      </c>
      <c r="D104" s="65" t="s">
        <v>411</v>
      </c>
      <c r="E104" s="66">
        <v>43861</v>
      </c>
      <c r="F104" s="66">
        <v>43864</v>
      </c>
      <c r="G104" s="106">
        <v>43867</v>
      </c>
      <c r="H104" s="67">
        <v>0.02</v>
      </c>
      <c r="I104" s="93">
        <v>0.1688</v>
      </c>
      <c r="J104" s="93">
        <v>0</v>
      </c>
      <c r="K104" s="60">
        <v>0.1688</v>
      </c>
      <c r="L104" s="60">
        <f>+K104-((K104*0.0000001*0.125)+(K104*(1-0.0000001)*0.26))</f>
        <v>0.1249120022788</v>
      </c>
      <c r="M104" s="67">
        <f t="shared" si="1"/>
        <v>0.1249120022788</v>
      </c>
      <c r="N104" s="67" t="s">
        <v>251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12"/>
    </row>
    <row r="105" spans="1:252" s="29" customFormat="1" ht="23.25" customHeight="1">
      <c r="A105" s="12" t="s">
        <v>192</v>
      </c>
      <c r="B105" s="12" t="s">
        <v>192</v>
      </c>
      <c r="C105" s="64" t="s">
        <v>355</v>
      </c>
      <c r="D105" s="65" t="s">
        <v>411</v>
      </c>
      <c r="E105" s="66">
        <v>43861</v>
      </c>
      <c r="F105" s="66">
        <v>43864</v>
      </c>
      <c r="G105" s="106">
        <v>43867</v>
      </c>
      <c r="H105" s="67">
        <v>0.02</v>
      </c>
      <c r="I105" s="93">
        <v>0.1698</v>
      </c>
      <c r="J105" s="93">
        <v>0</v>
      </c>
      <c r="K105" s="60">
        <v>0.1698</v>
      </c>
      <c r="L105" s="60">
        <f>+K105-((K105*0.0000001*0.125)+(K105*(1-0.0000001)*0.26))</f>
        <v>0.1256520022923</v>
      </c>
      <c r="M105" s="67">
        <f t="shared" si="1"/>
        <v>0.1256520022923</v>
      </c>
      <c r="N105" s="67" t="s">
        <v>251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12"/>
    </row>
    <row r="106" spans="1:252" s="29" customFormat="1" ht="23.25" customHeight="1">
      <c r="A106" s="12"/>
      <c r="B106" s="12" t="s">
        <v>311</v>
      </c>
      <c r="C106" s="64" t="s">
        <v>425</v>
      </c>
      <c r="D106" s="65" t="s">
        <v>411</v>
      </c>
      <c r="E106" s="66">
        <v>43861</v>
      </c>
      <c r="F106" s="66">
        <v>43864</v>
      </c>
      <c r="G106" s="106">
        <v>43867</v>
      </c>
      <c r="H106" s="67">
        <v>0.01</v>
      </c>
      <c r="I106" s="93">
        <v>0.0042</v>
      </c>
      <c r="J106" s="93">
        <v>0</v>
      </c>
      <c r="K106" s="60">
        <v>0.0042</v>
      </c>
      <c r="L106" s="60">
        <f>+K106-((K106*0.0000000001*0.125)+(K106*(1-0.000000001)*0.26))</f>
        <v>0.0031080000010394997</v>
      </c>
      <c r="M106" s="67">
        <f t="shared" si="1"/>
        <v>0.0031080000010394997</v>
      </c>
      <c r="N106" s="67" t="s">
        <v>251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12"/>
    </row>
    <row r="107" spans="1:252" s="29" customFormat="1" ht="23.25" customHeight="1">
      <c r="A107" s="12" t="s">
        <v>189</v>
      </c>
      <c r="B107" s="12" t="s">
        <v>189</v>
      </c>
      <c r="C107" s="64" t="s">
        <v>356</v>
      </c>
      <c r="D107" s="65" t="s">
        <v>411</v>
      </c>
      <c r="E107" s="66">
        <v>43861</v>
      </c>
      <c r="F107" s="66">
        <v>43864</v>
      </c>
      <c r="G107" s="106">
        <v>43867</v>
      </c>
      <c r="H107" s="67">
        <v>0.01</v>
      </c>
      <c r="I107" s="93">
        <v>0.0763</v>
      </c>
      <c r="J107" s="93">
        <v>0</v>
      </c>
      <c r="K107" s="60">
        <v>0.0763</v>
      </c>
      <c r="L107" s="60">
        <f>+K107-((K107*0.0000000001*0.125)+(K107*(1-0.000000001)*0.26))</f>
        <v>0.056462000018884254</v>
      </c>
      <c r="M107" s="67">
        <f t="shared" si="1"/>
        <v>0.056462000018884254</v>
      </c>
      <c r="N107" s="67" t="s">
        <v>251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12"/>
    </row>
    <row r="108" spans="1:252" s="29" customFormat="1" ht="23.25" customHeight="1">
      <c r="A108" s="12" t="s">
        <v>197</v>
      </c>
      <c r="B108" s="12" t="s">
        <v>197</v>
      </c>
      <c r="C108" s="64" t="s">
        <v>357</v>
      </c>
      <c r="D108" s="65" t="s">
        <v>411</v>
      </c>
      <c r="E108" s="66">
        <v>43861</v>
      </c>
      <c r="F108" s="66">
        <v>43864</v>
      </c>
      <c r="G108" s="106">
        <v>43867</v>
      </c>
      <c r="H108" s="67">
        <v>0.01</v>
      </c>
      <c r="I108" s="93">
        <v>0.0774</v>
      </c>
      <c r="J108" s="93">
        <v>0</v>
      </c>
      <c r="K108" s="60">
        <v>0.0774</v>
      </c>
      <c r="L108" s="60">
        <f>+K108-((K108*0.0000000001*0.125)+(K108*(1-0.000000001)*0.26))</f>
        <v>0.057276000019156496</v>
      </c>
      <c r="M108" s="67">
        <f t="shared" si="1"/>
        <v>0.057276000019156496</v>
      </c>
      <c r="N108" s="67" t="s">
        <v>251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12"/>
    </row>
    <row r="109" spans="1:252" s="29" customFormat="1" ht="23.25" customHeight="1">
      <c r="A109" s="12"/>
      <c r="B109" s="12" t="s">
        <v>308</v>
      </c>
      <c r="C109" s="64" t="s">
        <v>426</v>
      </c>
      <c r="D109" s="65" t="s">
        <v>411</v>
      </c>
      <c r="E109" s="66">
        <v>43861</v>
      </c>
      <c r="F109" s="66">
        <v>43864</v>
      </c>
      <c r="G109" s="106">
        <v>43867</v>
      </c>
      <c r="H109" s="67">
        <v>0.015</v>
      </c>
      <c r="I109" s="93">
        <v>0.0062</v>
      </c>
      <c r="J109" s="93">
        <v>0</v>
      </c>
      <c r="K109" s="60">
        <v>0.0062</v>
      </c>
      <c r="L109" s="60">
        <f>+K109-((K109*0.478*0.125)+(K109*(1-0.478)*0.26))</f>
        <v>0.004988086</v>
      </c>
      <c r="M109" s="67">
        <f t="shared" si="1"/>
        <v>0.004988086</v>
      </c>
      <c r="N109" s="67" t="s">
        <v>251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12"/>
    </row>
    <row r="110" spans="1:252" s="29" customFormat="1" ht="23.25" customHeight="1">
      <c r="A110" s="12" t="s">
        <v>186</v>
      </c>
      <c r="B110" s="12" t="s">
        <v>186</v>
      </c>
      <c r="C110" s="64" t="s">
        <v>363</v>
      </c>
      <c r="D110" s="65" t="s">
        <v>411</v>
      </c>
      <c r="E110" s="66">
        <v>43861</v>
      </c>
      <c r="F110" s="66">
        <v>43864</v>
      </c>
      <c r="G110" s="106">
        <v>43867</v>
      </c>
      <c r="H110" s="67">
        <v>0.015</v>
      </c>
      <c r="I110" s="93">
        <v>0.114</v>
      </c>
      <c r="J110" s="93">
        <v>0</v>
      </c>
      <c r="K110" s="60">
        <v>0.114</v>
      </c>
      <c r="L110" s="60">
        <f>+K110-((K110*0.478*0.125)+(K110*(1-0.478)*0.26))</f>
        <v>0.09171641999999999</v>
      </c>
      <c r="M110" s="67">
        <f t="shared" si="1"/>
        <v>0.09171641999999999</v>
      </c>
      <c r="N110" s="67" t="s">
        <v>251</v>
      </c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12"/>
    </row>
    <row r="111" spans="1:252" s="29" customFormat="1" ht="23.25" customHeight="1">
      <c r="A111" s="12" t="s">
        <v>194</v>
      </c>
      <c r="B111" s="12" t="s">
        <v>194</v>
      </c>
      <c r="C111" s="64" t="s">
        <v>364</v>
      </c>
      <c r="D111" s="65" t="s">
        <v>411</v>
      </c>
      <c r="E111" s="66">
        <v>43861</v>
      </c>
      <c r="F111" s="66">
        <v>43864</v>
      </c>
      <c r="G111" s="106">
        <v>43867</v>
      </c>
      <c r="H111" s="67">
        <v>0.015</v>
      </c>
      <c r="I111" s="93">
        <v>0.1168</v>
      </c>
      <c r="J111" s="93">
        <v>0</v>
      </c>
      <c r="K111" s="60">
        <v>0.1168</v>
      </c>
      <c r="L111" s="60">
        <f>+K111-((K111*0.478*0.125)+(K111*(1-0.478)*0.26))</f>
        <v>0.093969104</v>
      </c>
      <c r="M111" s="67">
        <f t="shared" si="1"/>
        <v>0.093969104</v>
      </c>
      <c r="N111" s="67" t="s">
        <v>251</v>
      </c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12"/>
    </row>
    <row r="112" spans="1:252" s="29" customFormat="1" ht="23.25" customHeight="1">
      <c r="A112" s="12"/>
      <c r="B112" s="12" t="s">
        <v>307</v>
      </c>
      <c r="C112" s="64" t="s">
        <v>420</v>
      </c>
      <c r="D112" s="65" t="s">
        <v>411</v>
      </c>
      <c r="E112" s="66">
        <v>43861</v>
      </c>
      <c r="F112" s="66">
        <v>43864</v>
      </c>
      <c r="G112" s="106">
        <v>43867</v>
      </c>
      <c r="H112" s="67">
        <v>0.015</v>
      </c>
      <c r="I112" s="93">
        <v>0.0062</v>
      </c>
      <c r="J112" s="93">
        <v>0</v>
      </c>
      <c r="K112" s="60">
        <v>0.0062</v>
      </c>
      <c r="L112" s="60">
        <f>+K112-((K112*0.588*0.125)+(K112*(1-0.588)*0.26))</f>
        <v>0.005080156</v>
      </c>
      <c r="M112" s="67">
        <f t="shared" si="1"/>
        <v>0.005080156</v>
      </c>
      <c r="N112" s="67" t="s">
        <v>251</v>
      </c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12"/>
    </row>
    <row r="113" spans="1:252" s="29" customFormat="1" ht="23.25" customHeight="1">
      <c r="A113" s="12" t="s">
        <v>185</v>
      </c>
      <c r="B113" s="12" t="s">
        <v>185</v>
      </c>
      <c r="C113" s="64" t="s">
        <v>366</v>
      </c>
      <c r="D113" s="65" t="s">
        <v>411</v>
      </c>
      <c r="E113" s="66">
        <v>43861</v>
      </c>
      <c r="F113" s="66">
        <v>43864</v>
      </c>
      <c r="G113" s="106">
        <v>43867</v>
      </c>
      <c r="H113" s="67">
        <v>0.015</v>
      </c>
      <c r="I113" s="93">
        <v>0.1039</v>
      </c>
      <c r="J113" s="93">
        <v>0</v>
      </c>
      <c r="K113" s="60">
        <v>0.1039</v>
      </c>
      <c r="L113" s="60">
        <f>+K113-((K113*0.588*0.125)+(K113*(1-0.588)*0.26))</f>
        <v>0.08513358200000001</v>
      </c>
      <c r="M113" s="67">
        <f t="shared" si="1"/>
        <v>0.08513358200000001</v>
      </c>
      <c r="N113" s="67" t="s">
        <v>251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12"/>
    </row>
    <row r="114" spans="1:252" s="29" customFormat="1" ht="23.25" customHeight="1">
      <c r="A114" s="12" t="s">
        <v>193</v>
      </c>
      <c r="B114" s="12" t="s">
        <v>193</v>
      </c>
      <c r="C114" s="64" t="s">
        <v>367</v>
      </c>
      <c r="D114" s="65" t="s">
        <v>411</v>
      </c>
      <c r="E114" s="66">
        <v>43861</v>
      </c>
      <c r="F114" s="66">
        <v>43864</v>
      </c>
      <c r="G114" s="106">
        <v>43867</v>
      </c>
      <c r="H114" s="67">
        <v>0.015</v>
      </c>
      <c r="I114" s="93">
        <v>0.1009</v>
      </c>
      <c r="J114" s="93">
        <v>0</v>
      </c>
      <c r="K114" s="60">
        <v>0.1009</v>
      </c>
      <c r="L114" s="60">
        <f>+K114-((K114*0.588*0.125)+(K114*(1-0.588)*0.26))</f>
        <v>0.082675442</v>
      </c>
      <c r="M114" s="67">
        <f t="shared" si="1"/>
        <v>0.082675442</v>
      </c>
      <c r="N114" s="67" t="s">
        <v>251</v>
      </c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12"/>
    </row>
    <row r="115" spans="1:252" s="29" customFormat="1" ht="23.25" customHeight="1">
      <c r="A115" s="12"/>
      <c r="B115" s="12" t="s">
        <v>309</v>
      </c>
      <c r="C115" s="64" t="s">
        <v>427</v>
      </c>
      <c r="D115" s="65" t="s">
        <v>411</v>
      </c>
      <c r="E115" s="66">
        <v>43861</v>
      </c>
      <c r="F115" s="66">
        <v>43864</v>
      </c>
      <c r="G115" s="106">
        <v>43867</v>
      </c>
      <c r="H115" s="67">
        <v>0.035</v>
      </c>
      <c r="I115" s="93">
        <v>0.0145</v>
      </c>
      <c r="J115" s="93">
        <v>0</v>
      </c>
      <c r="K115" s="60">
        <v>0.0145</v>
      </c>
      <c r="L115" s="60">
        <f>+K115-((K115*0.001*0.125)+(K115*(1-0.001)*0.26))</f>
        <v>0.0107319575</v>
      </c>
      <c r="M115" s="67">
        <f t="shared" si="1"/>
        <v>0.0107319575</v>
      </c>
      <c r="N115" s="67" t="s">
        <v>251</v>
      </c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12"/>
    </row>
    <row r="116" spans="1:252" s="29" customFormat="1" ht="23.25" customHeight="1">
      <c r="A116" s="12" t="s">
        <v>187</v>
      </c>
      <c r="B116" s="12" t="s">
        <v>187</v>
      </c>
      <c r="C116" s="64" t="s">
        <v>368</v>
      </c>
      <c r="D116" s="65" t="s">
        <v>411</v>
      </c>
      <c r="E116" s="66">
        <v>43861</v>
      </c>
      <c r="F116" s="66">
        <v>43864</v>
      </c>
      <c r="G116" s="106">
        <v>43867</v>
      </c>
      <c r="H116" s="67">
        <v>0.035</v>
      </c>
      <c r="I116" s="93">
        <v>0.2568</v>
      </c>
      <c r="J116" s="93">
        <v>0</v>
      </c>
      <c r="K116" s="60">
        <v>0.2568</v>
      </c>
      <c r="L116" s="60">
        <f>+K116-((K116*0.001*0.125)+(K116*(1-0.001)*0.26))</f>
        <v>0.190066668</v>
      </c>
      <c r="M116" s="67">
        <f t="shared" si="1"/>
        <v>0.190066668</v>
      </c>
      <c r="N116" s="67" t="s">
        <v>251</v>
      </c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12"/>
    </row>
    <row r="117" spans="1:252" s="29" customFormat="1" ht="23.25" customHeight="1">
      <c r="A117" s="12" t="s">
        <v>195</v>
      </c>
      <c r="B117" s="12" t="s">
        <v>195</v>
      </c>
      <c r="C117" s="64" t="s">
        <v>369</v>
      </c>
      <c r="D117" s="65" t="s">
        <v>411</v>
      </c>
      <c r="E117" s="66">
        <v>43861</v>
      </c>
      <c r="F117" s="66">
        <v>43864</v>
      </c>
      <c r="G117" s="106">
        <v>43867</v>
      </c>
      <c r="H117" s="67">
        <v>0.035</v>
      </c>
      <c r="I117" s="93">
        <v>0.264</v>
      </c>
      <c r="J117" s="93">
        <v>0</v>
      </c>
      <c r="K117" s="60">
        <v>0.264</v>
      </c>
      <c r="L117" s="60">
        <f>+K117-((K117*0.001*0.125)+(K117*(1-0.001)*0.26))</f>
        <v>0.19539563999999998</v>
      </c>
      <c r="M117" s="67">
        <f t="shared" si="1"/>
        <v>0.19539563999999998</v>
      </c>
      <c r="N117" s="67" t="s">
        <v>251</v>
      </c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12"/>
    </row>
    <row r="118" spans="1:252" s="29" customFormat="1" ht="23.25" customHeight="1">
      <c r="A118" s="12"/>
      <c r="B118" s="12" t="s">
        <v>312</v>
      </c>
      <c r="C118" s="64" t="s">
        <v>428</v>
      </c>
      <c r="D118" s="65" t="s">
        <v>411</v>
      </c>
      <c r="E118" s="66">
        <v>43861</v>
      </c>
      <c r="F118" s="66">
        <v>43864</v>
      </c>
      <c r="G118" s="106">
        <v>43867</v>
      </c>
      <c r="H118" s="67">
        <v>0.05</v>
      </c>
      <c r="I118" s="93">
        <v>0.0211</v>
      </c>
      <c r="J118" s="93">
        <v>0</v>
      </c>
      <c r="K118" s="60">
        <v>0.0211</v>
      </c>
      <c r="L118" s="60">
        <f>+K118-((K118*0.002*0.125)+(K118*(1-0.002)*0.26))</f>
        <v>0.015619697</v>
      </c>
      <c r="M118" s="67">
        <f t="shared" si="1"/>
        <v>0.015619697</v>
      </c>
      <c r="N118" s="67" t="s">
        <v>251</v>
      </c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12"/>
    </row>
    <row r="119" spans="1:252" s="29" customFormat="1" ht="23.25" customHeight="1">
      <c r="A119" s="12" t="s">
        <v>190</v>
      </c>
      <c r="B119" s="12" t="s">
        <v>190</v>
      </c>
      <c r="C119" s="64" t="s">
        <v>370</v>
      </c>
      <c r="D119" s="65" t="s">
        <v>411</v>
      </c>
      <c r="E119" s="66">
        <v>43861</v>
      </c>
      <c r="F119" s="66">
        <v>43864</v>
      </c>
      <c r="G119" s="106">
        <v>43867</v>
      </c>
      <c r="H119" s="67">
        <v>0.05</v>
      </c>
      <c r="I119" s="93">
        <v>0.3999</v>
      </c>
      <c r="J119" s="93">
        <v>0</v>
      </c>
      <c r="K119" s="60">
        <v>0.3999</v>
      </c>
      <c r="L119" s="60">
        <f>+K119-((K119*0.002*0.125)+(K119*(1-0.002)*0.26))</f>
        <v>0.296033973</v>
      </c>
      <c r="M119" s="67">
        <f t="shared" si="1"/>
        <v>0.296033973</v>
      </c>
      <c r="N119" s="67" t="s">
        <v>251</v>
      </c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12"/>
    </row>
    <row r="120" spans="1:252" s="29" customFormat="1" ht="23.25" customHeight="1">
      <c r="A120" s="12" t="s">
        <v>198</v>
      </c>
      <c r="B120" s="12" t="s">
        <v>198</v>
      </c>
      <c r="C120" s="64" t="s">
        <v>371</v>
      </c>
      <c r="D120" s="65" t="s">
        <v>411</v>
      </c>
      <c r="E120" s="66">
        <v>43861</v>
      </c>
      <c r="F120" s="66">
        <v>43864</v>
      </c>
      <c r="G120" s="106">
        <v>43867</v>
      </c>
      <c r="H120" s="67">
        <v>0.05</v>
      </c>
      <c r="I120" s="93">
        <v>0.3995</v>
      </c>
      <c r="J120" s="93">
        <v>0</v>
      </c>
      <c r="K120" s="60">
        <v>0.3995</v>
      </c>
      <c r="L120" s="60">
        <f>+K120-((K120*0.002*0.125)+(K120*(1-0.002)*0.26))</f>
        <v>0.295737865</v>
      </c>
      <c r="M120" s="67">
        <f t="shared" si="1"/>
        <v>0.295737865</v>
      </c>
      <c r="N120" s="67" t="s">
        <v>251</v>
      </c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12"/>
    </row>
    <row r="121" spans="1:252" s="29" customFormat="1" ht="23.25" customHeight="1">
      <c r="A121" s="12"/>
      <c r="B121" s="12" t="s">
        <v>516</v>
      </c>
      <c r="C121" s="64" t="s">
        <v>518</v>
      </c>
      <c r="D121" s="65" t="s">
        <v>411</v>
      </c>
      <c r="E121" s="66">
        <v>43861</v>
      </c>
      <c r="F121" s="66">
        <v>43864</v>
      </c>
      <c r="G121" s="106">
        <v>43867</v>
      </c>
      <c r="H121" s="128">
        <v>0.02</v>
      </c>
      <c r="I121" s="93">
        <v>0.1357</v>
      </c>
      <c r="J121" s="93">
        <v>0</v>
      </c>
      <c r="K121" s="60">
        <v>0.1357</v>
      </c>
      <c r="L121" s="60">
        <f>+K121-((K121*0.532*0.125)+(K121*(1-0.532)*0.26))</f>
        <v>0.110163974</v>
      </c>
      <c r="M121" s="60">
        <f t="shared" si="1"/>
        <v>0.110163974</v>
      </c>
      <c r="N121" s="67" t="s">
        <v>251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12"/>
    </row>
    <row r="122" spans="1:252" s="29" customFormat="1" ht="23.25" customHeight="1">
      <c r="A122" s="12"/>
      <c r="B122" s="12" t="s">
        <v>517</v>
      </c>
      <c r="C122" s="64" t="s">
        <v>519</v>
      </c>
      <c r="D122" s="65" t="s">
        <v>411</v>
      </c>
      <c r="E122" s="66">
        <v>43861</v>
      </c>
      <c r="F122" s="66">
        <v>43864</v>
      </c>
      <c r="G122" s="106">
        <v>43867</v>
      </c>
      <c r="H122" s="128">
        <v>0.02</v>
      </c>
      <c r="I122" s="93">
        <v>0.1364</v>
      </c>
      <c r="J122" s="93">
        <v>0</v>
      </c>
      <c r="K122" s="60">
        <v>0.1364</v>
      </c>
      <c r="L122" s="60">
        <f>+K122-((K122*0.532*0.125)+(K122*(1-0.532)*0.26))</f>
        <v>0.11073224799999999</v>
      </c>
      <c r="M122" s="60">
        <f t="shared" si="1"/>
        <v>0.11073224799999999</v>
      </c>
      <c r="N122" s="67" t="s">
        <v>251</v>
      </c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12"/>
    </row>
    <row r="123" spans="1:252" s="29" customFormat="1" ht="23.25" customHeight="1">
      <c r="A123" s="12"/>
      <c r="B123" s="12" t="s">
        <v>313</v>
      </c>
      <c r="C123" s="64" t="s">
        <v>429</v>
      </c>
      <c r="D123" s="65" t="s">
        <v>411</v>
      </c>
      <c r="E123" s="66">
        <v>43861</v>
      </c>
      <c r="F123" s="66">
        <v>43864</v>
      </c>
      <c r="G123" s="106">
        <v>43867</v>
      </c>
      <c r="H123" s="70">
        <v>0.0225</v>
      </c>
      <c r="I123" s="93">
        <v>0.0093</v>
      </c>
      <c r="J123" s="93">
        <v>0</v>
      </c>
      <c r="K123" s="60">
        <v>0.0093</v>
      </c>
      <c r="L123" s="60">
        <f>+K123-((K123*0.135*0.125)+(K123*(1-0.135)*0.26))</f>
        <v>0.007051492499999999</v>
      </c>
      <c r="M123" s="67">
        <f t="shared" si="1"/>
        <v>0.007051492499999999</v>
      </c>
      <c r="N123" s="67" t="s">
        <v>251</v>
      </c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12"/>
    </row>
    <row r="124" spans="1:252" s="29" customFormat="1" ht="23.25" customHeight="1">
      <c r="A124" s="12"/>
      <c r="B124" s="12" t="s">
        <v>514</v>
      </c>
      <c r="C124" s="64" t="s">
        <v>515</v>
      </c>
      <c r="D124" s="65" t="s">
        <v>411</v>
      </c>
      <c r="E124" s="66">
        <v>43889</v>
      </c>
      <c r="F124" s="66">
        <v>43892</v>
      </c>
      <c r="G124" s="106">
        <v>43895</v>
      </c>
      <c r="H124" s="128">
        <v>0.03</v>
      </c>
      <c r="I124" s="93">
        <v>0.1916</v>
      </c>
      <c r="J124" s="93">
        <v>0</v>
      </c>
      <c r="K124" s="60">
        <v>0.1916</v>
      </c>
      <c r="L124" s="60">
        <f>+K124-((K124*0.766*0.125)+(K124*(1-0.766)*0.26))</f>
        <v>0.161597356</v>
      </c>
      <c r="M124" s="67">
        <f t="shared" si="1"/>
        <v>0.161597356</v>
      </c>
      <c r="N124" s="67" t="s">
        <v>251</v>
      </c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12"/>
    </row>
    <row r="125" spans="1:252" s="29" customFormat="1" ht="23.25" customHeight="1">
      <c r="A125" s="12"/>
      <c r="B125" s="12" t="s">
        <v>310</v>
      </c>
      <c r="C125" s="64" t="s">
        <v>424</v>
      </c>
      <c r="D125" s="65" t="s">
        <v>411</v>
      </c>
      <c r="E125" s="66">
        <v>43889</v>
      </c>
      <c r="F125" s="66">
        <v>43892</v>
      </c>
      <c r="G125" s="106">
        <v>43895</v>
      </c>
      <c r="H125" s="70">
        <v>0.05</v>
      </c>
      <c r="I125" s="93">
        <v>0.0209</v>
      </c>
      <c r="J125" s="93">
        <v>0</v>
      </c>
      <c r="K125" s="60">
        <v>0.0209</v>
      </c>
      <c r="L125" s="60">
        <f>+K125-((K125*0.04*0.125)+(K125*(1-0.04)*0.26))</f>
        <v>0.015578859999999998</v>
      </c>
      <c r="M125" s="67">
        <f t="shared" si="1"/>
        <v>0.015578859999999998</v>
      </c>
      <c r="N125" s="67" t="s">
        <v>251</v>
      </c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12"/>
    </row>
    <row r="126" spans="1:252" s="29" customFormat="1" ht="23.25" customHeight="1">
      <c r="A126" s="12" t="s">
        <v>188</v>
      </c>
      <c r="B126" s="12" t="s">
        <v>188</v>
      </c>
      <c r="C126" s="64" t="s">
        <v>339</v>
      </c>
      <c r="D126" s="65" t="s">
        <v>411</v>
      </c>
      <c r="E126" s="66">
        <v>43889</v>
      </c>
      <c r="F126" s="66">
        <v>43892</v>
      </c>
      <c r="G126" s="106">
        <v>43895</v>
      </c>
      <c r="H126" s="70">
        <v>0.05</v>
      </c>
      <c r="I126" s="93">
        <v>0.3655</v>
      </c>
      <c r="J126" s="93">
        <v>0</v>
      </c>
      <c r="K126" s="60">
        <v>0.3655</v>
      </c>
      <c r="L126" s="60">
        <f>+K126-((K126*0.04*0.125)+(K126*(1-0.04)*0.26))</f>
        <v>0.2724437</v>
      </c>
      <c r="M126" s="67">
        <f t="shared" si="1"/>
        <v>0.2724437</v>
      </c>
      <c r="N126" s="67" t="s">
        <v>251</v>
      </c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12"/>
    </row>
    <row r="127" spans="1:252" s="29" customFormat="1" ht="23.25" customHeight="1">
      <c r="A127" s="12" t="s">
        <v>196</v>
      </c>
      <c r="B127" s="12" t="s">
        <v>196</v>
      </c>
      <c r="C127" s="64" t="s">
        <v>340</v>
      </c>
      <c r="D127" s="65" t="s">
        <v>411</v>
      </c>
      <c r="E127" s="66">
        <v>43889</v>
      </c>
      <c r="F127" s="66">
        <v>43892</v>
      </c>
      <c r="G127" s="106">
        <v>43895</v>
      </c>
      <c r="H127" s="70">
        <v>0.05</v>
      </c>
      <c r="I127" s="93">
        <v>0.3778</v>
      </c>
      <c r="J127" s="93">
        <v>0</v>
      </c>
      <c r="K127" s="60">
        <v>0.3778</v>
      </c>
      <c r="L127" s="60">
        <f>+K127-((K127*0.04*0.125)+(K127*(1-0.04)*0.26))</f>
        <v>0.28161212</v>
      </c>
      <c r="M127" s="67">
        <f t="shared" si="1"/>
        <v>0.28161212</v>
      </c>
      <c r="N127" s="67" t="s">
        <v>251</v>
      </c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12"/>
    </row>
    <row r="128" spans="1:252" s="29" customFormat="1" ht="23.25" customHeight="1">
      <c r="A128" s="12" t="s">
        <v>229</v>
      </c>
      <c r="B128" s="12" t="s">
        <v>191</v>
      </c>
      <c r="C128" s="64" t="s">
        <v>346</v>
      </c>
      <c r="D128" s="65" t="s">
        <v>411</v>
      </c>
      <c r="E128" s="66">
        <v>43889</v>
      </c>
      <c r="F128" s="66">
        <v>43892</v>
      </c>
      <c r="G128" s="106">
        <v>43895</v>
      </c>
      <c r="H128" s="67">
        <v>0.035</v>
      </c>
      <c r="I128" s="93">
        <v>0.0147</v>
      </c>
      <c r="J128" s="93">
        <v>0</v>
      </c>
      <c r="K128" s="60">
        <v>0.0147</v>
      </c>
      <c r="L128" s="60">
        <f>+K128-((K128*0.837*0.125)+(K128*(1-0.837)*0.26))</f>
        <v>0.0125390265</v>
      </c>
      <c r="M128" s="67">
        <f t="shared" si="1"/>
        <v>0.0125390265</v>
      </c>
      <c r="N128" s="67" t="s">
        <v>251</v>
      </c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12"/>
    </row>
    <row r="129" spans="1:252" s="29" customFormat="1" ht="23.25" customHeight="1">
      <c r="A129" s="12" t="s">
        <v>231</v>
      </c>
      <c r="B129" s="12" t="s">
        <v>199</v>
      </c>
      <c r="C129" s="64" t="s">
        <v>347</v>
      </c>
      <c r="D129" s="65" t="s">
        <v>411</v>
      </c>
      <c r="E129" s="66">
        <v>43889</v>
      </c>
      <c r="F129" s="66">
        <v>43892</v>
      </c>
      <c r="G129" s="106">
        <v>43895</v>
      </c>
      <c r="H129" s="67">
        <v>0.035</v>
      </c>
      <c r="I129" s="93">
        <v>0.0147</v>
      </c>
      <c r="J129" s="93">
        <v>0</v>
      </c>
      <c r="K129" s="60">
        <v>0.0147</v>
      </c>
      <c r="L129" s="60">
        <f>+K129-((K129*0.837*0.125)+(K129*(1-0.837)*0.26))</f>
        <v>0.0125390265</v>
      </c>
      <c r="M129" s="67">
        <f t="shared" si="1"/>
        <v>0.0125390265</v>
      </c>
      <c r="N129" s="67" t="s">
        <v>251</v>
      </c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12"/>
    </row>
    <row r="130" spans="1:252" s="29" customFormat="1" ht="23.25" customHeight="1">
      <c r="A130" s="12"/>
      <c r="B130" s="12" t="s">
        <v>306</v>
      </c>
      <c r="C130" s="64" t="s">
        <v>430</v>
      </c>
      <c r="D130" s="65" t="s">
        <v>411</v>
      </c>
      <c r="E130" s="66">
        <v>43889</v>
      </c>
      <c r="F130" s="66">
        <v>43892</v>
      </c>
      <c r="G130" s="106">
        <v>43895</v>
      </c>
      <c r="H130" s="67">
        <v>0.02</v>
      </c>
      <c r="I130" s="93">
        <v>0.0084</v>
      </c>
      <c r="J130" s="93">
        <v>0</v>
      </c>
      <c r="K130" s="60">
        <v>0.0084</v>
      </c>
      <c r="L130" s="60">
        <f>+K130-((K130*0.0000001*0.125)+(K130*(1-0.0000001)*0.26))</f>
        <v>0.0062160001134</v>
      </c>
      <c r="M130" s="67">
        <f t="shared" si="1"/>
        <v>0.0062160001134</v>
      </c>
      <c r="N130" s="67" t="s">
        <v>251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12"/>
    </row>
    <row r="131" spans="1:252" s="29" customFormat="1" ht="23.25" customHeight="1">
      <c r="A131" s="12" t="s">
        <v>184</v>
      </c>
      <c r="B131" s="12" t="s">
        <v>184</v>
      </c>
      <c r="C131" s="64" t="s">
        <v>354</v>
      </c>
      <c r="D131" s="65" t="s">
        <v>411</v>
      </c>
      <c r="E131" s="66">
        <v>43889</v>
      </c>
      <c r="F131" s="66">
        <v>43892</v>
      </c>
      <c r="G131" s="106">
        <v>43895</v>
      </c>
      <c r="H131" s="67">
        <v>0.02</v>
      </c>
      <c r="I131" s="93">
        <v>0.1688</v>
      </c>
      <c r="J131" s="93">
        <v>0</v>
      </c>
      <c r="K131" s="60">
        <v>0.1688</v>
      </c>
      <c r="L131" s="60">
        <f>+K131-((K131*0.0000001*0.125)+(K131*(1-0.0000001)*0.26))</f>
        <v>0.1249120022788</v>
      </c>
      <c r="M131" s="67">
        <f t="shared" si="1"/>
        <v>0.1249120022788</v>
      </c>
      <c r="N131" s="67" t="s">
        <v>251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12"/>
    </row>
    <row r="132" spans="1:252" s="29" customFormat="1" ht="23.25" customHeight="1">
      <c r="A132" s="12" t="s">
        <v>192</v>
      </c>
      <c r="B132" s="12" t="s">
        <v>192</v>
      </c>
      <c r="C132" s="64" t="s">
        <v>355</v>
      </c>
      <c r="D132" s="65" t="s">
        <v>411</v>
      </c>
      <c r="E132" s="66">
        <v>43889</v>
      </c>
      <c r="F132" s="66">
        <v>43892</v>
      </c>
      <c r="G132" s="106">
        <v>43895</v>
      </c>
      <c r="H132" s="67">
        <v>0.02</v>
      </c>
      <c r="I132" s="93">
        <v>0.1698</v>
      </c>
      <c r="J132" s="93">
        <v>0</v>
      </c>
      <c r="K132" s="60">
        <v>0.1698</v>
      </c>
      <c r="L132" s="60">
        <f>+K132-((K132*0.0000001*0.125)+(K132*(1-0.0000001)*0.26))</f>
        <v>0.1256520022923</v>
      </c>
      <c r="M132" s="67">
        <f t="shared" si="1"/>
        <v>0.1256520022923</v>
      </c>
      <c r="N132" s="67" t="s">
        <v>251</v>
      </c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12"/>
    </row>
    <row r="133" spans="1:252" s="29" customFormat="1" ht="23.25" customHeight="1">
      <c r="A133" s="12"/>
      <c r="B133" s="12" t="s">
        <v>311</v>
      </c>
      <c r="C133" s="64" t="s">
        <v>425</v>
      </c>
      <c r="D133" s="65" t="s">
        <v>411</v>
      </c>
      <c r="E133" s="66">
        <v>43889</v>
      </c>
      <c r="F133" s="66">
        <v>43892</v>
      </c>
      <c r="G133" s="106">
        <v>43895</v>
      </c>
      <c r="H133" s="67">
        <v>0.01</v>
      </c>
      <c r="I133" s="93">
        <v>0.0042</v>
      </c>
      <c r="J133" s="93">
        <v>0</v>
      </c>
      <c r="K133" s="60">
        <v>0.0042</v>
      </c>
      <c r="L133" s="60">
        <f>+K133-((K133*0.0000000001*0.125)+(K133*(1-0.000000001)*0.26))</f>
        <v>0.0031080000010394997</v>
      </c>
      <c r="M133" s="67">
        <f t="shared" si="1"/>
        <v>0.0031080000010394997</v>
      </c>
      <c r="N133" s="67" t="s">
        <v>251</v>
      </c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12"/>
    </row>
    <row r="134" spans="1:252" s="29" customFormat="1" ht="23.25" customHeight="1">
      <c r="A134" s="12" t="s">
        <v>189</v>
      </c>
      <c r="B134" s="12" t="s">
        <v>189</v>
      </c>
      <c r="C134" s="64" t="s">
        <v>356</v>
      </c>
      <c r="D134" s="65" t="s">
        <v>411</v>
      </c>
      <c r="E134" s="66">
        <v>43889</v>
      </c>
      <c r="F134" s="66">
        <v>43892</v>
      </c>
      <c r="G134" s="106">
        <v>43895</v>
      </c>
      <c r="H134" s="67">
        <v>0.01</v>
      </c>
      <c r="I134" s="93">
        <v>0.0763</v>
      </c>
      <c r="J134" s="93">
        <v>0</v>
      </c>
      <c r="K134" s="60">
        <v>0.0763</v>
      </c>
      <c r="L134" s="60">
        <f>+K134-((K134*0.0000000001*0.125)+(K134*(1-0.000000001)*0.26))</f>
        <v>0.056462000018884254</v>
      </c>
      <c r="M134" s="67">
        <f aca="true" t="shared" si="3" ref="M134:M197">J134+L134</f>
        <v>0.056462000018884254</v>
      </c>
      <c r="N134" s="67" t="s">
        <v>251</v>
      </c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12"/>
    </row>
    <row r="135" spans="1:252" s="29" customFormat="1" ht="23.25" customHeight="1">
      <c r="A135" s="12" t="s">
        <v>197</v>
      </c>
      <c r="B135" s="12" t="s">
        <v>197</v>
      </c>
      <c r="C135" s="64" t="s">
        <v>357</v>
      </c>
      <c r="D135" s="65" t="s">
        <v>411</v>
      </c>
      <c r="E135" s="66">
        <v>43889</v>
      </c>
      <c r="F135" s="66">
        <v>43892</v>
      </c>
      <c r="G135" s="106">
        <v>43895</v>
      </c>
      <c r="H135" s="67">
        <v>0.01</v>
      </c>
      <c r="I135" s="93">
        <v>0.0774</v>
      </c>
      <c r="J135" s="93">
        <v>0</v>
      </c>
      <c r="K135" s="60">
        <v>0.0774</v>
      </c>
      <c r="L135" s="60">
        <f>+K135-((K135*0.0000000001*0.125)+(K135*(1-0.000000001)*0.26))</f>
        <v>0.057276000019156496</v>
      </c>
      <c r="M135" s="67">
        <f t="shared" si="3"/>
        <v>0.057276000019156496</v>
      </c>
      <c r="N135" s="67" t="s">
        <v>251</v>
      </c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12"/>
    </row>
    <row r="136" spans="1:252" s="29" customFormat="1" ht="23.25" customHeight="1">
      <c r="A136" s="12"/>
      <c r="B136" s="12" t="s">
        <v>308</v>
      </c>
      <c r="C136" s="64" t="s">
        <v>426</v>
      </c>
      <c r="D136" s="65" t="s">
        <v>411</v>
      </c>
      <c r="E136" s="66">
        <v>43889</v>
      </c>
      <c r="F136" s="66">
        <v>43892</v>
      </c>
      <c r="G136" s="106">
        <v>43895</v>
      </c>
      <c r="H136" s="67">
        <v>0.015</v>
      </c>
      <c r="I136" s="93">
        <v>0.0062</v>
      </c>
      <c r="J136" s="93">
        <v>0</v>
      </c>
      <c r="K136" s="60">
        <v>0.0062</v>
      </c>
      <c r="L136" s="60">
        <f>+K136-((K136*0.478*0.125)+(K136*(1-0.478)*0.26))</f>
        <v>0.004988086</v>
      </c>
      <c r="M136" s="67">
        <f t="shared" si="3"/>
        <v>0.004988086</v>
      </c>
      <c r="N136" s="67" t="s">
        <v>251</v>
      </c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12"/>
    </row>
    <row r="137" spans="1:252" s="29" customFormat="1" ht="23.25" customHeight="1">
      <c r="A137" s="12" t="s">
        <v>186</v>
      </c>
      <c r="B137" s="12" t="s">
        <v>186</v>
      </c>
      <c r="C137" s="64" t="s">
        <v>363</v>
      </c>
      <c r="D137" s="65" t="s">
        <v>411</v>
      </c>
      <c r="E137" s="66">
        <v>43889</v>
      </c>
      <c r="F137" s="66">
        <v>43892</v>
      </c>
      <c r="G137" s="106">
        <v>43895</v>
      </c>
      <c r="H137" s="67">
        <v>0.015</v>
      </c>
      <c r="I137" s="93">
        <v>0.114</v>
      </c>
      <c r="J137" s="93">
        <v>0</v>
      </c>
      <c r="K137" s="60">
        <v>0.114</v>
      </c>
      <c r="L137" s="60">
        <f>+K137-((K137*0.478*0.125)+(K137*(1-0.478)*0.26))</f>
        <v>0.09171641999999999</v>
      </c>
      <c r="M137" s="67">
        <f t="shared" si="3"/>
        <v>0.09171641999999999</v>
      </c>
      <c r="N137" s="67" t="s">
        <v>251</v>
      </c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12"/>
    </row>
    <row r="138" spans="1:252" s="29" customFormat="1" ht="23.25" customHeight="1">
      <c r="A138" s="12" t="s">
        <v>194</v>
      </c>
      <c r="B138" s="12" t="s">
        <v>194</v>
      </c>
      <c r="C138" s="64" t="s">
        <v>364</v>
      </c>
      <c r="D138" s="65" t="s">
        <v>411</v>
      </c>
      <c r="E138" s="66">
        <v>43889</v>
      </c>
      <c r="F138" s="66">
        <v>43892</v>
      </c>
      <c r="G138" s="106">
        <v>43895</v>
      </c>
      <c r="H138" s="67">
        <v>0.015</v>
      </c>
      <c r="I138" s="93">
        <v>0.1168</v>
      </c>
      <c r="J138" s="93">
        <v>0</v>
      </c>
      <c r="K138" s="60">
        <v>0.1168</v>
      </c>
      <c r="L138" s="60">
        <f>+K138-((K138*0.478*0.125)+(K138*(1-0.478)*0.26))</f>
        <v>0.093969104</v>
      </c>
      <c r="M138" s="67">
        <f t="shared" si="3"/>
        <v>0.093969104</v>
      </c>
      <c r="N138" s="67" t="s">
        <v>251</v>
      </c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12"/>
    </row>
    <row r="139" spans="1:252" s="29" customFormat="1" ht="23.25" customHeight="1">
      <c r="A139" s="12"/>
      <c r="B139" s="12" t="s">
        <v>307</v>
      </c>
      <c r="C139" s="64" t="s">
        <v>420</v>
      </c>
      <c r="D139" s="65" t="s">
        <v>411</v>
      </c>
      <c r="E139" s="66">
        <v>43889</v>
      </c>
      <c r="F139" s="66">
        <v>43892</v>
      </c>
      <c r="G139" s="106">
        <v>43895</v>
      </c>
      <c r="H139" s="67">
        <v>0.015</v>
      </c>
      <c r="I139" s="93">
        <v>0.0062</v>
      </c>
      <c r="J139" s="93">
        <v>0</v>
      </c>
      <c r="K139" s="60">
        <v>0.0062</v>
      </c>
      <c r="L139" s="60">
        <f>+K139-((K139*0.588*0.125)+(K139*(1-0.588)*0.26))</f>
        <v>0.005080156</v>
      </c>
      <c r="M139" s="67">
        <f t="shared" si="3"/>
        <v>0.005080156</v>
      </c>
      <c r="N139" s="67" t="s">
        <v>251</v>
      </c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12"/>
    </row>
    <row r="140" spans="1:252" s="29" customFormat="1" ht="23.25" customHeight="1">
      <c r="A140" s="12" t="s">
        <v>185</v>
      </c>
      <c r="B140" s="12" t="s">
        <v>185</v>
      </c>
      <c r="C140" s="64" t="s">
        <v>366</v>
      </c>
      <c r="D140" s="65" t="s">
        <v>411</v>
      </c>
      <c r="E140" s="66">
        <v>43889</v>
      </c>
      <c r="F140" s="66">
        <v>43892</v>
      </c>
      <c r="G140" s="106">
        <v>43895</v>
      </c>
      <c r="H140" s="67">
        <v>0.015</v>
      </c>
      <c r="I140" s="93">
        <v>0.1039</v>
      </c>
      <c r="J140" s="93">
        <v>0</v>
      </c>
      <c r="K140" s="60">
        <v>0.1039</v>
      </c>
      <c r="L140" s="60">
        <f>+K140-((K140*0.588*0.125)+(K140*(1-0.588)*0.26))</f>
        <v>0.08513358200000001</v>
      </c>
      <c r="M140" s="67">
        <f t="shared" si="3"/>
        <v>0.08513358200000001</v>
      </c>
      <c r="N140" s="67" t="s">
        <v>251</v>
      </c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12"/>
    </row>
    <row r="141" spans="1:252" s="29" customFormat="1" ht="23.25" customHeight="1">
      <c r="A141" s="12" t="s">
        <v>193</v>
      </c>
      <c r="B141" s="12" t="s">
        <v>193</v>
      </c>
      <c r="C141" s="64" t="s">
        <v>367</v>
      </c>
      <c r="D141" s="65" t="s">
        <v>411</v>
      </c>
      <c r="E141" s="66">
        <v>43889</v>
      </c>
      <c r="F141" s="66">
        <v>43892</v>
      </c>
      <c r="G141" s="106">
        <v>43895</v>
      </c>
      <c r="H141" s="67">
        <v>0.015</v>
      </c>
      <c r="I141" s="93">
        <v>0.1009</v>
      </c>
      <c r="J141" s="93">
        <v>0</v>
      </c>
      <c r="K141" s="60">
        <v>0.1009</v>
      </c>
      <c r="L141" s="60">
        <f>+K141-((K141*0.588*0.125)+(K141*(1-0.588)*0.26))</f>
        <v>0.082675442</v>
      </c>
      <c r="M141" s="67">
        <f t="shared" si="3"/>
        <v>0.082675442</v>
      </c>
      <c r="N141" s="67" t="s">
        <v>251</v>
      </c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12"/>
    </row>
    <row r="142" spans="1:252" s="29" customFormat="1" ht="23.25" customHeight="1">
      <c r="A142" s="12"/>
      <c r="B142" s="12" t="s">
        <v>309</v>
      </c>
      <c r="C142" s="64" t="s">
        <v>427</v>
      </c>
      <c r="D142" s="65" t="s">
        <v>411</v>
      </c>
      <c r="E142" s="66">
        <v>43889</v>
      </c>
      <c r="F142" s="66">
        <v>43892</v>
      </c>
      <c r="G142" s="106">
        <v>43895</v>
      </c>
      <c r="H142" s="67">
        <v>0.035</v>
      </c>
      <c r="I142" s="93">
        <v>0.0145</v>
      </c>
      <c r="J142" s="93">
        <v>0</v>
      </c>
      <c r="K142" s="60">
        <v>0.0145</v>
      </c>
      <c r="L142" s="60">
        <f>+K142-((K142*0.001*0.125)+(K142*(1-0.001)*0.26))</f>
        <v>0.0107319575</v>
      </c>
      <c r="M142" s="67">
        <f t="shared" si="3"/>
        <v>0.0107319575</v>
      </c>
      <c r="N142" s="67" t="s">
        <v>251</v>
      </c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12"/>
    </row>
    <row r="143" spans="1:252" s="29" customFormat="1" ht="23.25" customHeight="1">
      <c r="A143" s="12" t="s">
        <v>187</v>
      </c>
      <c r="B143" s="12" t="s">
        <v>187</v>
      </c>
      <c r="C143" s="64" t="s">
        <v>368</v>
      </c>
      <c r="D143" s="65" t="s">
        <v>411</v>
      </c>
      <c r="E143" s="66">
        <v>43889</v>
      </c>
      <c r="F143" s="66">
        <v>43892</v>
      </c>
      <c r="G143" s="106">
        <v>43895</v>
      </c>
      <c r="H143" s="67">
        <v>0.035</v>
      </c>
      <c r="I143" s="93">
        <v>0.2568</v>
      </c>
      <c r="J143" s="93">
        <v>0</v>
      </c>
      <c r="K143" s="60">
        <v>0.2568</v>
      </c>
      <c r="L143" s="60">
        <f>+K143-((K143*0.001*0.125)+(K143*(1-0.001)*0.26))</f>
        <v>0.190066668</v>
      </c>
      <c r="M143" s="67">
        <f t="shared" si="3"/>
        <v>0.190066668</v>
      </c>
      <c r="N143" s="67" t="s">
        <v>251</v>
      </c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12"/>
    </row>
    <row r="144" spans="1:252" s="29" customFormat="1" ht="23.25" customHeight="1">
      <c r="A144" s="12" t="s">
        <v>195</v>
      </c>
      <c r="B144" s="12" t="s">
        <v>195</v>
      </c>
      <c r="C144" s="64" t="s">
        <v>369</v>
      </c>
      <c r="D144" s="65" t="s">
        <v>411</v>
      </c>
      <c r="E144" s="66">
        <v>43889</v>
      </c>
      <c r="F144" s="66">
        <v>43892</v>
      </c>
      <c r="G144" s="106">
        <v>43895</v>
      </c>
      <c r="H144" s="67">
        <v>0.035</v>
      </c>
      <c r="I144" s="93">
        <v>0.264</v>
      </c>
      <c r="J144" s="93">
        <v>0</v>
      </c>
      <c r="K144" s="60">
        <v>0.264</v>
      </c>
      <c r="L144" s="60">
        <f>+K144-((K144*0.001*0.125)+(K144*(1-0.001)*0.26))</f>
        <v>0.19539563999999998</v>
      </c>
      <c r="M144" s="67">
        <f t="shared" si="3"/>
        <v>0.19539563999999998</v>
      </c>
      <c r="N144" s="67" t="s">
        <v>251</v>
      </c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12"/>
    </row>
    <row r="145" spans="1:252" s="29" customFormat="1" ht="23.25" customHeight="1">
      <c r="A145" s="12"/>
      <c r="B145" s="12" t="s">
        <v>312</v>
      </c>
      <c r="C145" s="64" t="s">
        <v>428</v>
      </c>
      <c r="D145" s="65" t="s">
        <v>411</v>
      </c>
      <c r="E145" s="66">
        <v>43889</v>
      </c>
      <c r="F145" s="66">
        <v>43892</v>
      </c>
      <c r="G145" s="106">
        <v>43895</v>
      </c>
      <c r="H145" s="67">
        <v>0.05</v>
      </c>
      <c r="I145" s="93">
        <v>0.0211</v>
      </c>
      <c r="J145" s="93">
        <v>0</v>
      </c>
      <c r="K145" s="60">
        <v>0.0211</v>
      </c>
      <c r="L145" s="60">
        <f>+K145-((K145*0.002*0.125)+(K145*(1-0.002)*0.26))</f>
        <v>0.015619697</v>
      </c>
      <c r="M145" s="67">
        <f t="shared" si="3"/>
        <v>0.015619697</v>
      </c>
      <c r="N145" s="67" t="s">
        <v>251</v>
      </c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12"/>
    </row>
    <row r="146" spans="1:252" s="29" customFormat="1" ht="23.25" customHeight="1">
      <c r="A146" s="12" t="s">
        <v>190</v>
      </c>
      <c r="B146" s="12" t="s">
        <v>190</v>
      </c>
      <c r="C146" s="64" t="s">
        <v>370</v>
      </c>
      <c r="D146" s="65" t="s">
        <v>411</v>
      </c>
      <c r="E146" s="66">
        <v>43889</v>
      </c>
      <c r="F146" s="66">
        <v>43892</v>
      </c>
      <c r="G146" s="106">
        <v>43895</v>
      </c>
      <c r="H146" s="67">
        <v>0.05</v>
      </c>
      <c r="I146" s="93">
        <v>0.3999</v>
      </c>
      <c r="J146" s="93">
        <v>0</v>
      </c>
      <c r="K146" s="60">
        <v>0.3999</v>
      </c>
      <c r="L146" s="60">
        <f>+K146-((K146*0.002*0.125)+(K146*(1-0.002)*0.26))</f>
        <v>0.296033973</v>
      </c>
      <c r="M146" s="67">
        <f t="shared" si="3"/>
        <v>0.296033973</v>
      </c>
      <c r="N146" s="67" t="s">
        <v>251</v>
      </c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12"/>
    </row>
    <row r="147" spans="1:252" s="29" customFormat="1" ht="23.25" customHeight="1">
      <c r="A147" s="12" t="s">
        <v>198</v>
      </c>
      <c r="B147" s="12" t="s">
        <v>198</v>
      </c>
      <c r="C147" s="64" t="s">
        <v>371</v>
      </c>
      <c r="D147" s="65" t="s">
        <v>411</v>
      </c>
      <c r="E147" s="66">
        <v>43889</v>
      </c>
      <c r="F147" s="66">
        <v>43892</v>
      </c>
      <c r="G147" s="106">
        <v>43895</v>
      </c>
      <c r="H147" s="67">
        <v>0.05</v>
      </c>
      <c r="I147" s="93">
        <v>0.3995</v>
      </c>
      <c r="J147" s="93">
        <v>0</v>
      </c>
      <c r="K147" s="60">
        <v>0.3995</v>
      </c>
      <c r="L147" s="60">
        <f>+K147-((K147*0.002*0.125)+(K147*(1-0.002)*0.26))</f>
        <v>0.295737865</v>
      </c>
      <c r="M147" s="67">
        <f t="shared" si="3"/>
        <v>0.295737865</v>
      </c>
      <c r="N147" s="67" t="s">
        <v>251</v>
      </c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12"/>
    </row>
    <row r="148" spans="1:252" s="29" customFormat="1" ht="23.25" customHeight="1">
      <c r="A148" s="12"/>
      <c r="B148" s="12" t="s">
        <v>516</v>
      </c>
      <c r="C148" s="64" t="s">
        <v>518</v>
      </c>
      <c r="D148" s="65" t="s">
        <v>411</v>
      </c>
      <c r="E148" s="66">
        <v>43889</v>
      </c>
      <c r="F148" s="66">
        <v>43892</v>
      </c>
      <c r="G148" s="106">
        <v>43895</v>
      </c>
      <c r="H148" s="128">
        <v>0.02</v>
      </c>
      <c r="I148" s="93">
        <v>0.1357</v>
      </c>
      <c r="J148" s="93">
        <v>0</v>
      </c>
      <c r="K148" s="60">
        <v>0.1357</v>
      </c>
      <c r="L148" s="60">
        <f>+K148-((K148*0.532*0.125)+(K148*(1-0.532)*0.26))</f>
        <v>0.110163974</v>
      </c>
      <c r="M148" s="60">
        <f t="shared" si="3"/>
        <v>0.110163974</v>
      </c>
      <c r="N148" s="67" t="s">
        <v>251</v>
      </c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12"/>
    </row>
    <row r="149" spans="1:252" s="29" customFormat="1" ht="23.25" customHeight="1">
      <c r="A149" s="12"/>
      <c r="B149" s="12" t="s">
        <v>517</v>
      </c>
      <c r="C149" s="64" t="s">
        <v>519</v>
      </c>
      <c r="D149" s="12" t="s">
        <v>411</v>
      </c>
      <c r="E149" s="65">
        <v>43889</v>
      </c>
      <c r="F149" s="66">
        <v>43892</v>
      </c>
      <c r="G149" s="66">
        <v>43895</v>
      </c>
      <c r="H149" s="128">
        <v>0.02</v>
      </c>
      <c r="I149" s="60">
        <v>0.1364</v>
      </c>
      <c r="J149" s="93">
        <v>0</v>
      </c>
      <c r="K149" s="93">
        <v>0.1364</v>
      </c>
      <c r="L149" s="60">
        <f>+K149-((K149*0.532*0.125)+(K149*(1-0.532)*0.26))</f>
        <v>0.11073224799999999</v>
      </c>
      <c r="M149" s="60">
        <f t="shared" si="3"/>
        <v>0.11073224799999999</v>
      </c>
      <c r="N149" s="67" t="s">
        <v>251</v>
      </c>
      <c r="IR149" s="242"/>
    </row>
    <row r="150" spans="1:252" s="29" customFormat="1" ht="23.25" customHeight="1">
      <c r="A150" s="12"/>
      <c r="B150" s="12" t="s">
        <v>313</v>
      </c>
      <c r="C150" s="64" t="s">
        <v>429</v>
      </c>
      <c r="D150" s="65" t="s">
        <v>411</v>
      </c>
      <c r="E150" s="66">
        <v>43889</v>
      </c>
      <c r="F150" s="66">
        <v>43892</v>
      </c>
      <c r="G150" s="106">
        <v>43895</v>
      </c>
      <c r="H150" s="70">
        <v>0.0225</v>
      </c>
      <c r="I150" s="93">
        <v>0.0093</v>
      </c>
      <c r="J150" s="93">
        <v>0</v>
      </c>
      <c r="K150" s="60">
        <v>0.0093</v>
      </c>
      <c r="L150" s="60">
        <f>+K150-((K150*0.135*0.125)+(K150*(1-0.135)*0.26))</f>
        <v>0.007051492499999999</v>
      </c>
      <c r="M150" s="67">
        <f t="shared" si="3"/>
        <v>0.007051492499999999</v>
      </c>
      <c r="N150" s="67" t="s">
        <v>251</v>
      </c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237"/>
    </row>
    <row r="151" spans="1:199" s="29" customFormat="1" ht="23.25" customHeight="1">
      <c r="A151" s="12" t="s">
        <v>122</v>
      </c>
      <c r="B151" s="73" t="s">
        <v>174</v>
      </c>
      <c r="C151" s="74" t="s">
        <v>382</v>
      </c>
      <c r="D151" s="73" t="s">
        <v>410</v>
      </c>
      <c r="E151" s="65">
        <v>43920</v>
      </c>
      <c r="F151" s="66">
        <v>43921</v>
      </c>
      <c r="G151" s="66">
        <v>43924</v>
      </c>
      <c r="H151" s="67"/>
      <c r="I151" s="60">
        <v>0.031729</v>
      </c>
      <c r="J151" s="93">
        <v>0</v>
      </c>
      <c r="K151" s="93">
        <v>0.031729</v>
      </c>
      <c r="L151" s="60">
        <f>+K151-((K151*0.004*0.125)+(K151*(1-0.004)*0.26))</f>
        <v>0.02349659366</v>
      </c>
      <c r="M151" s="60">
        <f t="shared" si="3"/>
        <v>0.02349659366</v>
      </c>
      <c r="N151" s="67" t="s">
        <v>247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</row>
    <row r="152" spans="1:199" s="29" customFormat="1" ht="23.25" customHeight="1">
      <c r="A152" s="12" t="s">
        <v>123</v>
      </c>
      <c r="B152" s="73" t="s">
        <v>176</v>
      </c>
      <c r="C152" s="74" t="s">
        <v>397</v>
      </c>
      <c r="D152" s="73" t="s">
        <v>410</v>
      </c>
      <c r="E152" s="65">
        <v>43920</v>
      </c>
      <c r="F152" s="66">
        <v>43921</v>
      </c>
      <c r="G152" s="66">
        <v>43924</v>
      </c>
      <c r="H152" s="67"/>
      <c r="I152" s="60">
        <v>0.042372</v>
      </c>
      <c r="J152" s="93">
        <v>0</v>
      </c>
      <c r="K152" s="93">
        <v>0.042372</v>
      </c>
      <c r="L152" s="60">
        <f>+K152-((K152*0.089*0.125)+(K152*(1-0.089)*0.26))</f>
        <v>0.03186437958</v>
      </c>
      <c r="M152" s="60">
        <f t="shared" si="3"/>
        <v>0.03186437958</v>
      </c>
      <c r="N152" s="67" t="s">
        <v>247</v>
      </c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</row>
    <row r="153" spans="1:199" s="29" customFormat="1" ht="23.25" customHeight="1">
      <c r="A153" s="12" t="s">
        <v>124</v>
      </c>
      <c r="B153" s="73" t="s">
        <v>175</v>
      </c>
      <c r="C153" s="74" t="s">
        <v>467</v>
      </c>
      <c r="D153" s="73" t="s">
        <v>410</v>
      </c>
      <c r="E153" s="65">
        <v>43920</v>
      </c>
      <c r="F153" s="66">
        <v>43921</v>
      </c>
      <c r="G153" s="66">
        <v>43924</v>
      </c>
      <c r="H153" s="67"/>
      <c r="I153" s="60">
        <v>0.036255</v>
      </c>
      <c r="J153" s="93">
        <v>0</v>
      </c>
      <c r="K153" s="93">
        <v>0.036255</v>
      </c>
      <c r="L153" s="60">
        <f>+K153-((K153*0.112*0.125)+(K153*(1-0.112)*0.26))</f>
        <v>0.027376875600000003</v>
      </c>
      <c r="M153" s="60">
        <f t="shared" si="3"/>
        <v>0.027376875600000003</v>
      </c>
      <c r="N153" s="67" t="s">
        <v>247</v>
      </c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</row>
    <row r="154" spans="1:199" s="29" customFormat="1" ht="23.25" customHeight="1">
      <c r="A154" s="12"/>
      <c r="B154" s="12" t="s">
        <v>514</v>
      </c>
      <c r="C154" s="64" t="s">
        <v>515</v>
      </c>
      <c r="D154" s="12" t="s">
        <v>411</v>
      </c>
      <c r="E154" s="65">
        <v>43921</v>
      </c>
      <c r="F154" s="66">
        <v>43922</v>
      </c>
      <c r="G154" s="66">
        <v>43927</v>
      </c>
      <c r="H154" s="128">
        <v>0.03</v>
      </c>
      <c r="I154" s="60">
        <v>0.1916</v>
      </c>
      <c r="J154" s="61">
        <v>0</v>
      </c>
      <c r="K154" s="61">
        <v>0.1916</v>
      </c>
      <c r="L154" s="60">
        <f>+K154-((K154*0.766*0.125)+(K154*(1-0.766)*0.26))</f>
        <v>0.161597356</v>
      </c>
      <c r="M154" s="60">
        <f t="shared" si="3"/>
        <v>0.161597356</v>
      </c>
      <c r="N154" s="67" t="s">
        <v>251</v>
      </c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</row>
    <row r="155" spans="1:14" s="29" customFormat="1" ht="23.25" customHeight="1">
      <c r="A155" s="12"/>
      <c r="B155" s="12" t="s">
        <v>298</v>
      </c>
      <c r="C155" s="64" t="s">
        <v>403</v>
      </c>
      <c r="D155" s="12" t="s">
        <v>410</v>
      </c>
      <c r="E155" s="65">
        <v>43921</v>
      </c>
      <c r="F155" s="66">
        <v>43922</v>
      </c>
      <c r="G155" s="66">
        <v>43927</v>
      </c>
      <c r="H155" s="67">
        <v>0.045</v>
      </c>
      <c r="I155" s="60">
        <v>0.0562</v>
      </c>
      <c r="J155" s="93">
        <v>0</v>
      </c>
      <c r="K155" s="93">
        <v>0.0562</v>
      </c>
      <c r="L155" s="60">
        <f>+K155-((K155*0.473*0.125)+(K155*(1-0.473)*0.26))</f>
        <v>0.045176651</v>
      </c>
      <c r="M155" s="60">
        <f t="shared" si="3"/>
        <v>0.045176651</v>
      </c>
      <c r="N155" s="67" t="s">
        <v>248</v>
      </c>
    </row>
    <row r="156" spans="1:199" s="29" customFormat="1" ht="23.25" customHeight="1">
      <c r="A156" s="12" t="s">
        <v>181</v>
      </c>
      <c r="B156" s="68" t="s">
        <v>181</v>
      </c>
      <c r="C156" s="69" t="s">
        <v>335</v>
      </c>
      <c r="D156" s="12" t="s">
        <v>410</v>
      </c>
      <c r="E156" s="65">
        <v>43921</v>
      </c>
      <c r="F156" s="66">
        <v>43922</v>
      </c>
      <c r="G156" s="66">
        <v>43927</v>
      </c>
      <c r="H156" s="67">
        <v>0.045</v>
      </c>
      <c r="I156" s="60">
        <v>1.0031</v>
      </c>
      <c r="J156" s="93">
        <v>0</v>
      </c>
      <c r="K156" s="93">
        <v>1.0031</v>
      </c>
      <c r="L156" s="60">
        <f>+K156-((K156*0.473*0.125)+(K156*(1-0.473)*0.26))</f>
        <v>0.8063469505</v>
      </c>
      <c r="M156" s="60">
        <f t="shared" si="3"/>
        <v>0.8063469505</v>
      </c>
      <c r="N156" s="67" t="s">
        <v>248</v>
      </c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</row>
    <row r="157" spans="1:199" s="29" customFormat="1" ht="23.25" customHeight="1">
      <c r="A157" s="12" t="s">
        <v>201</v>
      </c>
      <c r="B157" s="73" t="s">
        <v>201</v>
      </c>
      <c r="C157" s="74" t="s">
        <v>336</v>
      </c>
      <c r="D157" s="12" t="s">
        <v>410</v>
      </c>
      <c r="E157" s="65">
        <v>43921</v>
      </c>
      <c r="F157" s="66">
        <v>43922</v>
      </c>
      <c r="G157" s="66">
        <v>43927</v>
      </c>
      <c r="H157" s="67">
        <v>0.045</v>
      </c>
      <c r="I157" s="60">
        <v>1.014</v>
      </c>
      <c r="J157" s="93">
        <v>0</v>
      </c>
      <c r="K157" s="93">
        <v>1.014</v>
      </c>
      <c r="L157" s="60">
        <f>+K157-((K157*0.473*0.125)+(K157*(1-0.473)*0.26))</f>
        <v>0.81510897</v>
      </c>
      <c r="M157" s="60">
        <f t="shared" si="3"/>
        <v>0.81510897</v>
      </c>
      <c r="N157" s="67" t="s">
        <v>248</v>
      </c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</row>
    <row r="158" spans="1:199" s="29" customFormat="1" ht="23.25" customHeight="1">
      <c r="A158" s="12" t="s">
        <v>88</v>
      </c>
      <c r="B158" s="12" t="s">
        <v>138</v>
      </c>
      <c r="C158" s="64" t="s">
        <v>337</v>
      </c>
      <c r="D158" s="12" t="s">
        <v>410</v>
      </c>
      <c r="E158" s="65">
        <v>43921</v>
      </c>
      <c r="F158" s="66">
        <v>43922</v>
      </c>
      <c r="G158" s="66">
        <v>43927</v>
      </c>
      <c r="H158" s="70">
        <v>0.05</v>
      </c>
      <c r="I158" s="60">
        <v>0.0788</v>
      </c>
      <c r="J158" s="93">
        <v>0</v>
      </c>
      <c r="K158" s="93">
        <v>0.0788</v>
      </c>
      <c r="L158" s="60">
        <f>+K158-((K158*0.342*0.125)+(K158*(1-0.342)*0.26))</f>
        <v>0.061950196</v>
      </c>
      <c r="M158" s="60">
        <f t="shared" si="3"/>
        <v>0.061950196</v>
      </c>
      <c r="N158" s="67" t="s">
        <v>248</v>
      </c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</row>
    <row r="159" spans="1:14" s="29" customFormat="1" ht="23.25" customHeight="1">
      <c r="A159" s="12" t="s">
        <v>13</v>
      </c>
      <c r="B159" s="68" t="s">
        <v>160</v>
      </c>
      <c r="C159" s="69" t="s">
        <v>338</v>
      </c>
      <c r="D159" s="12" t="s">
        <v>410</v>
      </c>
      <c r="E159" s="65">
        <v>43921</v>
      </c>
      <c r="F159" s="66">
        <v>43922</v>
      </c>
      <c r="G159" s="66">
        <v>43927</v>
      </c>
      <c r="H159" s="70">
        <v>0.05</v>
      </c>
      <c r="I159" s="60">
        <v>0.0784</v>
      </c>
      <c r="J159" s="93">
        <v>0</v>
      </c>
      <c r="K159" s="93">
        <v>0.0784</v>
      </c>
      <c r="L159" s="60">
        <f>+K159-((K159*0.342*0.125)+(K159*(1-0.342)*0.26))</f>
        <v>0.061635728</v>
      </c>
      <c r="M159" s="60">
        <f t="shared" si="3"/>
        <v>0.061635728</v>
      </c>
      <c r="N159" s="67" t="s">
        <v>248</v>
      </c>
    </row>
    <row r="160" spans="1:199" s="29" customFormat="1" ht="23.25" customHeight="1">
      <c r="A160" s="12"/>
      <c r="B160" s="12" t="s">
        <v>300</v>
      </c>
      <c r="C160" s="64" t="s">
        <v>404</v>
      </c>
      <c r="D160" s="12" t="s">
        <v>410</v>
      </c>
      <c r="E160" s="65">
        <v>43921</v>
      </c>
      <c r="F160" s="66">
        <v>43922</v>
      </c>
      <c r="G160" s="66">
        <v>43927</v>
      </c>
      <c r="H160" s="70">
        <v>0.05</v>
      </c>
      <c r="I160" s="60">
        <v>0.0615</v>
      </c>
      <c r="J160" s="93">
        <v>0</v>
      </c>
      <c r="K160" s="93">
        <v>0.0615</v>
      </c>
      <c r="L160" s="60">
        <f>+K160-((K160*0.342*0.125)+(K160*(1-0.342)*0.26))</f>
        <v>0.048349455</v>
      </c>
      <c r="M160" s="60">
        <f t="shared" si="3"/>
        <v>0.048349455</v>
      </c>
      <c r="N160" s="67" t="s">
        <v>248</v>
      </c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</row>
    <row r="161" spans="1:252" s="29" customFormat="1" ht="23.25" customHeight="1">
      <c r="A161" s="12"/>
      <c r="B161" s="12" t="s">
        <v>310</v>
      </c>
      <c r="C161" s="64" t="s">
        <v>424</v>
      </c>
      <c r="D161" s="12" t="s">
        <v>411</v>
      </c>
      <c r="E161" s="65">
        <v>43921</v>
      </c>
      <c r="F161" s="66">
        <v>43922</v>
      </c>
      <c r="G161" s="66">
        <v>43927</v>
      </c>
      <c r="H161" s="70">
        <v>0.05</v>
      </c>
      <c r="I161" s="60">
        <v>0.0209</v>
      </c>
      <c r="J161" s="93">
        <v>0</v>
      </c>
      <c r="K161" s="93">
        <v>0.0209</v>
      </c>
      <c r="L161" s="60">
        <f>+K161-((K161*0.04*0.125)+(K161*(1-0.04)*0.26))</f>
        <v>0.015578859999999998</v>
      </c>
      <c r="M161" s="60">
        <f t="shared" si="3"/>
        <v>0.015578859999999998</v>
      </c>
      <c r="N161" s="67" t="s">
        <v>251</v>
      </c>
      <c r="IR161" s="168"/>
    </row>
    <row r="162" spans="1:252" s="29" customFormat="1" ht="23.25" customHeight="1">
      <c r="A162" s="12" t="s">
        <v>188</v>
      </c>
      <c r="B162" s="68" t="s">
        <v>188</v>
      </c>
      <c r="C162" s="69" t="s">
        <v>339</v>
      </c>
      <c r="D162" s="12" t="s">
        <v>411</v>
      </c>
      <c r="E162" s="65">
        <v>43921</v>
      </c>
      <c r="F162" s="66">
        <v>43922</v>
      </c>
      <c r="G162" s="66">
        <v>43927</v>
      </c>
      <c r="H162" s="70">
        <v>0.05</v>
      </c>
      <c r="I162" s="60">
        <v>0.3655</v>
      </c>
      <c r="J162" s="93">
        <v>0</v>
      </c>
      <c r="K162" s="93">
        <v>0.3655</v>
      </c>
      <c r="L162" s="60">
        <f>+K162-((K162*0.04*0.125)+(K162*(1-0.04)*0.26))</f>
        <v>0.2724437</v>
      </c>
      <c r="M162" s="60">
        <f t="shared" si="3"/>
        <v>0.2724437</v>
      </c>
      <c r="N162" s="67" t="s">
        <v>251</v>
      </c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IR162" s="168"/>
    </row>
    <row r="163" spans="1:252" s="29" customFormat="1" ht="23.25" customHeight="1">
      <c r="A163" s="12" t="s">
        <v>196</v>
      </c>
      <c r="B163" s="73" t="s">
        <v>196</v>
      </c>
      <c r="C163" s="74" t="s">
        <v>340</v>
      </c>
      <c r="D163" s="73" t="s">
        <v>411</v>
      </c>
      <c r="E163" s="65">
        <v>43921</v>
      </c>
      <c r="F163" s="66">
        <v>43922</v>
      </c>
      <c r="G163" s="66">
        <v>43927</v>
      </c>
      <c r="H163" s="70">
        <v>0.05</v>
      </c>
      <c r="I163" s="60">
        <v>0.3778</v>
      </c>
      <c r="J163" s="93">
        <v>0</v>
      </c>
      <c r="K163" s="93">
        <v>0.3778</v>
      </c>
      <c r="L163" s="60">
        <f>+K163-((K163*0.04*0.125)+(K163*(1-0.04)*0.26))</f>
        <v>0.28161212</v>
      </c>
      <c r="M163" s="60">
        <f t="shared" si="3"/>
        <v>0.28161212</v>
      </c>
      <c r="N163" s="67" t="s">
        <v>251</v>
      </c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IR163" s="168"/>
    </row>
    <row r="164" spans="1:252" s="29" customFormat="1" ht="23.25" customHeight="1">
      <c r="A164" s="12" t="s">
        <v>87</v>
      </c>
      <c r="B164" s="12" t="s">
        <v>142</v>
      </c>
      <c r="C164" s="64" t="s">
        <v>341</v>
      </c>
      <c r="D164" s="12" t="s">
        <v>410</v>
      </c>
      <c r="E164" s="65">
        <v>43921</v>
      </c>
      <c r="F164" s="66">
        <v>43922</v>
      </c>
      <c r="G164" s="66">
        <v>43927</v>
      </c>
      <c r="H164" s="67">
        <v>0.0525</v>
      </c>
      <c r="I164" s="60">
        <v>0.0839</v>
      </c>
      <c r="J164" s="93">
        <v>0</v>
      </c>
      <c r="K164" s="93">
        <v>0.0839</v>
      </c>
      <c r="L164" s="60">
        <f>+K164-((K164*0.01*0.125)+(K164*(1-0.01)*0.26))</f>
        <v>0.062199265000000004</v>
      </c>
      <c r="M164" s="60">
        <f t="shared" si="3"/>
        <v>0.062199265000000004</v>
      </c>
      <c r="N164" s="67" t="s">
        <v>248</v>
      </c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IR164" s="168"/>
    </row>
    <row r="165" spans="1:199" s="29" customFormat="1" ht="23.25" customHeight="1">
      <c r="A165" s="12" t="s">
        <v>14</v>
      </c>
      <c r="B165" s="68" t="s">
        <v>159</v>
      </c>
      <c r="C165" s="69" t="s">
        <v>342</v>
      </c>
      <c r="D165" s="12" t="s">
        <v>410</v>
      </c>
      <c r="E165" s="65">
        <v>43921</v>
      </c>
      <c r="F165" s="66">
        <v>43922</v>
      </c>
      <c r="G165" s="66">
        <v>43927</v>
      </c>
      <c r="H165" s="67">
        <v>0.0525</v>
      </c>
      <c r="I165" s="60">
        <v>0.0836</v>
      </c>
      <c r="J165" s="93">
        <v>0</v>
      </c>
      <c r="K165" s="93">
        <v>0.0836</v>
      </c>
      <c r="L165" s="60">
        <f>+K165-((K165*0.01*0.125)+(K165*(1-0.01)*0.26))</f>
        <v>0.061976859999999995</v>
      </c>
      <c r="M165" s="60">
        <f t="shared" si="3"/>
        <v>0.061976859999999995</v>
      </c>
      <c r="N165" s="67" t="s">
        <v>248</v>
      </c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</row>
    <row r="166" spans="1:199" s="29" customFormat="1" ht="23.25" customHeight="1">
      <c r="A166" s="12"/>
      <c r="B166" s="68" t="s">
        <v>510</v>
      </c>
      <c r="C166" s="69" t="s">
        <v>511</v>
      </c>
      <c r="D166" s="12" t="s">
        <v>410</v>
      </c>
      <c r="E166" s="65">
        <v>43921</v>
      </c>
      <c r="F166" s="66">
        <v>43922</v>
      </c>
      <c r="G166" s="66">
        <v>43927</v>
      </c>
      <c r="H166" s="67">
        <v>0.0525</v>
      </c>
      <c r="I166" s="60">
        <v>0.0658</v>
      </c>
      <c r="J166" s="93">
        <v>0</v>
      </c>
      <c r="K166" s="93">
        <v>0.0658</v>
      </c>
      <c r="L166" s="60">
        <f>+K166-((K166*0.01*0.125)+(K166*(1-0.01)*0.26))</f>
        <v>0.04878083</v>
      </c>
      <c r="M166" s="60">
        <f t="shared" si="3"/>
        <v>0.04878083</v>
      </c>
      <c r="N166" s="67" t="s">
        <v>248</v>
      </c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</row>
    <row r="167" spans="1:199" s="29" customFormat="1" ht="23.25" customHeight="1">
      <c r="A167" s="12" t="s">
        <v>89</v>
      </c>
      <c r="B167" s="12" t="s">
        <v>139</v>
      </c>
      <c r="C167" s="64" t="s">
        <v>344</v>
      </c>
      <c r="D167" s="12" t="s">
        <v>410</v>
      </c>
      <c r="E167" s="65">
        <v>43921</v>
      </c>
      <c r="F167" s="66">
        <v>43922</v>
      </c>
      <c r="G167" s="66">
        <v>43927</v>
      </c>
      <c r="H167" s="67">
        <v>0.035</v>
      </c>
      <c r="I167" s="60">
        <v>0.0418</v>
      </c>
      <c r="J167" s="93">
        <v>0</v>
      </c>
      <c r="K167" s="93">
        <v>0.0418</v>
      </c>
      <c r="L167" s="60">
        <f>+K167-((K167*0.837*0.125)+(K167*(1-0.837)*0.26))</f>
        <v>0.035655190999999996</v>
      </c>
      <c r="M167" s="60">
        <f t="shared" si="3"/>
        <v>0.035655190999999996</v>
      </c>
      <c r="N167" s="67" t="s">
        <v>248</v>
      </c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</row>
    <row r="168" spans="1:14" s="29" customFormat="1" ht="23.25" customHeight="1">
      <c r="A168" s="12" t="s">
        <v>15</v>
      </c>
      <c r="B168" s="68" t="s">
        <v>161</v>
      </c>
      <c r="C168" s="69" t="s">
        <v>345</v>
      </c>
      <c r="D168" s="12" t="s">
        <v>410</v>
      </c>
      <c r="E168" s="65">
        <v>43921</v>
      </c>
      <c r="F168" s="66">
        <v>43922</v>
      </c>
      <c r="G168" s="66">
        <v>43927</v>
      </c>
      <c r="H168" s="67">
        <v>0.035</v>
      </c>
      <c r="I168" s="60">
        <v>0.0417</v>
      </c>
      <c r="J168" s="93">
        <v>0</v>
      </c>
      <c r="K168" s="93">
        <v>0.0417</v>
      </c>
      <c r="L168" s="60">
        <f>+K168-((K168*0.837*0.125)+(K168*(1-0.837)*0.26))</f>
        <v>0.0355698915</v>
      </c>
      <c r="M168" s="60">
        <f t="shared" si="3"/>
        <v>0.0355698915</v>
      </c>
      <c r="N168" s="67" t="s">
        <v>248</v>
      </c>
    </row>
    <row r="169" spans="1:199" s="29" customFormat="1" ht="23.25" customHeight="1">
      <c r="A169" s="12" t="s">
        <v>229</v>
      </c>
      <c r="B169" s="68" t="s">
        <v>191</v>
      </c>
      <c r="C169" s="69" t="s">
        <v>346</v>
      </c>
      <c r="D169" s="12" t="s">
        <v>411</v>
      </c>
      <c r="E169" s="65">
        <v>43921</v>
      </c>
      <c r="F169" s="66">
        <v>43922</v>
      </c>
      <c r="G169" s="66">
        <v>43927</v>
      </c>
      <c r="H169" s="67">
        <v>0.035</v>
      </c>
      <c r="I169" s="60">
        <v>0.0147</v>
      </c>
      <c r="J169" s="93">
        <v>0</v>
      </c>
      <c r="K169" s="93">
        <v>0.0147</v>
      </c>
      <c r="L169" s="60">
        <f>+K169-((K169*0.837*0.125)+(K169*(1-0.837)*0.26))</f>
        <v>0.0125390265</v>
      </c>
      <c r="M169" s="60">
        <f t="shared" si="3"/>
        <v>0.0125390265</v>
      </c>
      <c r="N169" s="67" t="s">
        <v>251</v>
      </c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</row>
    <row r="170" spans="1:199" s="29" customFormat="1" ht="23.25" customHeight="1">
      <c r="A170" s="12" t="s">
        <v>231</v>
      </c>
      <c r="B170" s="73" t="s">
        <v>199</v>
      </c>
      <c r="C170" s="74" t="s">
        <v>347</v>
      </c>
      <c r="D170" s="73" t="s">
        <v>411</v>
      </c>
      <c r="E170" s="65">
        <v>43921</v>
      </c>
      <c r="F170" s="66">
        <v>43922</v>
      </c>
      <c r="G170" s="66">
        <v>43927</v>
      </c>
      <c r="H170" s="67">
        <v>0.035</v>
      </c>
      <c r="I170" s="60">
        <v>0.0147</v>
      </c>
      <c r="J170" s="93">
        <v>0</v>
      </c>
      <c r="K170" s="93">
        <v>0.0147</v>
      </c>
      <c r="L170" s="60">
        <f>+K170-((K170*0.837*0.125)+(K170*(1-0.837)*0.26))</f>
        <v>0.0125390265</v>
      </c>
      <c r="M170" s="60">
        <f t="shared" si="3"/>
        <v>0.0125390265</v>
      </c>
      <c r="N170" s="67" t="s">
        <v>251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</row>
    <row r="171" spans="1:199" s="29" customFormat="1" ht="23.25" customHeight="1">
      <c r="A171" s="12" t="s">
        <v>91</v>
      </c>
      <c r="B171" s="12" t="s">
        <v>141</v>
      </c>
      <c r="C171" s="64" t="s">
        <v>348</v>
      </c>
      <c r="D171" s="12" t="s">
        <v>410</v>
      </c>
      <c r="E171" s="65">
        <v>43921</v>
      </c>
      <c r="F171" s="66">
        <v>43922</v>
      </c>
      <c r="G171" s="66">
        <v>43927</v>
      </c>
      <c r="H171" s="67">
        <v>0.0425</v>
      </c>
      <c r="I171" s="60">
        <v>0.0517</v>
      </c>
      <c r="J171" s="93">
        <v>0</v>
      </c>
      <c r="K171" s="93">
        <v>0.0517</v>
      </c>
      <c r="L171" s="60">
        <f>+K171-((K171*0.104*0.125)+(K171*(1-0.104)*0.26))</f>
        <v>0.038983868000000005</v>
      </c>
      <c r="M171" s="60">
        <f t="shared" si="3"/>
        <v>0.038983868000000005</v>
      </c>
      <c r="N171" s="67" t="s">
        <v>248</v>
      </c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</row>
    <row r="172" spans="1:14" s="29" customFormat="1" ht="23.25" customHeight="1">
      <c r="A172" s="12" t="s">
        <v>90</v>
      </c>
      <c r="B172" s="12" t="s">
        <v>140</v>
      </c>
      <c r="C172" s="64" t="s">
        <v>349</v>
      </c>
      <c r="D172" s="12" t="s">
        <v>410</v>
      </c>
      <c r="E172" s="65">
        <v>43921</v>
      </c>
      <c r="F172" s="66">
        <v>43922</v>
      </c>
      <c r="G172" s="66">
        <v>43927</v>
      </c>
      <c r="H172" s="67">
        <v>0.0425</v>
      </c>
      <c r="I172" s="60">
        <v>0.0567</v>
      </c>
      <c r="J172" s="93">
        <v>0</v>
      </c>
      <c r="K172" s="93">
        <v>0.0567</v>
      </c>
      <c r="L172" s="60">
        <f>+K172-((K172*0.104*0.125)+(K172*(1-0.104)*0.26))</f>
        <v>0.042754068</v>
      </c>
      <c r="M172" s="60">
        <f t="shared" si="3"/>
        <v>0.042754068</v>
      </c>
      <c r="N172" s="67" t="s">
        <v>248</v>
      </c>
    </row>
    <row r="173" spans="1:199" s="29" customFormat="1" ht="23.25" customHeight="1">
      <c r="A173" s="12" t="s">
        <v>17</v>
      </c>
      <c r="B173" s="68" t="s">
        <v>162</v>
      </c>
      <c r="C173" s="69" t="s">
        <v>350</v>
      </c>
      <c r="D173" s="12" t="s">
        <v>410</v>
      </c>
      <c r="E173" s="65">
        <v>43921</v>
      </c>
      <c r="F173" s="66">
        <v>43922</v>
      </c>
      <c r="G173" s="66">
        <v>43927</v>
      </c>
      <c r="H173" s="67">
        <v>0.0425</v>
      </c>
      <c r="I173" s="60">
        <v>0.0565</v>
      </c>
      <c r="J173" s="93">
        <v>0</v>
      </c>
      <c r="K173" s="93">
        <v>0.0565</v>
      </c>
      <c r="L173" s="60">
        <f>+K173-((K173*0.104*0.125)+(K173*(1-0.104)*0.26))</f>
        <v>0.042603260000000004</v>
      </c>
      <c r="M173" s="60">
        <f t="shared" si="3"/>
        <v>0.042603260000000004</v>
      </c>
      <c r="N173" s="67" t="s">
        <v>248</v>
      </c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</row>
    <row r="174" spans="1:199" s="29" customFormat="1" ht="23.25" customHeight="1">
      <c r="A174" s="12"/>
      <c r="B174" s="12" t="s">
        <v>302</v>
      </c>
      <c r="C174" s="64" t="s">
        <v>405</v>
      </c>
      <c r="D174" s="12" t="s">
        <v>410</v>
      </c>
      <c r="E174" s="65">
        <v>43921</v>
      </c>
      <c r="F174" s="66">
        <v>43922</v>
      </c>
      <c r="G174" s="66">
        <v>43927</v>
      </c>
      <c r="H174" s="67">
        <v>0.0425</v>
      </c>
      <c r="I174" s="60">
        <v>0.0538</v>
      </c>
      <c r="J174" s="93">
        <v>0</v>
      </c>
      <c r="K174" s="93">
        <v>0.0538</v>
      </c>
      <c r="L174" s="60">
        <f>+K174-((K174*0.104*0.125)+(K174*(1-0.104)*0.26))</f>
        <v>0.040567352</v>
      </c>
      <c r="M174" s="60">
        <f t="shared" si="3"/>
        <v>0.040567352</v>
      </c>
      <c r="N174" s="67" t="s">
        <v>248</v>
      </c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</row>
    <row r="175" spans="1:199" s="29" customFormat="1" ht="23.25" customHeight="1">
      <c r="A175" s="12"/>
      <c r="B175" s="12" t="s">
        <v>303</v>
      </c>
      <c r="C175" s="64" t="s">
        <v>406</v>
      </c>
      <c r="D175" s="12" t="s">
        <v>410</v>
      </c>
      <c r="E175" s="65">
        <v>43921</v>
      </c>
      <c r="F175" s="66">
        <v>43922</v>
      </c>
      <c r="G175" s="66">
        <v>43927</v>
      </c>
      <c r="H175" s="67">
        <v>0.0425</v>
      </c>
      <c r="I175" s="60">
        <v>0.0532</v>
      </c>
      <c r="J175" s="93">
        <v>0</v>
      </c>
      <c r="K175" s="93">
        <v>0.0532</v>
      </c>
      <c r="L175" s="60">
        <f>+K175-((K175*0.104*0.125)+(K175*(1-0.104)*0.26))</f>
        <v>0.040114927999999994</v>
      </c>
      <c r="M175" s="60">
        <f t="shared" si="3"/>
        <v>0.040114927999999994</v>
      </c>
      <c r="N175" s="67" t="s">
        <v>248</v>
      </c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</row>
    <row r="176" spans="1:14" s="29" customFormat="1" ht="23.25" customHeight="1">
      <c r="A176" s="12" t="s">
        <v>92</v>
      </c>
      <c r="B176" s="12" t="s">
        <v>143</v>
      </c>
      <c r="C176" s="64" t="s">
        <v>351</v>
      </c>
      <c r="D176" s="12" t="s">
        <v>410</v>
      </c>
      <c r="E176" s="65">
        <v>43921</v>
      </c>
      <c r="F176" s="66">
        <v>43922</v>
      </c>
      <c r="G176" s="66">
        <v>43927</v>
      </c>
      <c r="H176" s="67">
        <v>0.004</v>
      </c>
      <c r="I176" s="60">
        <v>0.0051</v>
      </c>
      <c r="J176" s="93">
        <v>0</v>
      </c>
      <c r="K176" s="93">
        <v>0.0051</v>
      </c>
      <c r="L176" s="60">
        <f>+K176-((K176*0.666*0.125)+(K176*(1-0.666)*0.26))</f>
        <v>0.004232541</v>
      </c>
      <c r="M176" s="60">
        <f t="shared" si="3"/>
        <v>0.004232541</v>
      </c>
      <c r="N176" s="67" t="s">
        <v>248</v>
      </c>
    </row>
    <row r="177" spans="1:199" s="29" customFormat="1" ht="23.25" customHeight="1">
      <c r="A177" s="12" t="s">
        <v>94</v>
      </c>
      <c r="B177" s="12" t="s">
        <v>145</v>
      </c>
      <c r="C177" s="64" t="s">
        <v>352</v>
      </c>
      <c r="D177" s="12" t="s">
        <v>410</v>
      </c>
      <c r="E177" s="65">
        <v>43921</v>
      </c>
      <c r="F177" s="66">
        <v>43922</v>
      </c>
      <c r="G177" s="66">
        <v>43927</v>
      </c>
      <c r="H177" s="67">
        <v>0.0045</v>
      </c>
      <c r="I177" s="60">
        <v>0.0058</v>
      </c>
      <c r="J177" s="93">
        <v>0</v>
      </c>
      <c r="K177" s="93">
        <v>0.0058</v>
      </c>
      <c r="L177" s="60">
        <f>+K177-((K177*0.008*0.125)+(K177*(1-0.008)*0.26))</f>
        <v>0.0042982639999999996</v>
      </c>
      <c r="M177" s="60">
        <f t="shared" si="3"/>
        <v>0.0042982639999999996</v>
      </c>
      <c r="N177" s="67" t="s">
        <v>248</v>
      </c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</row>
    <row r="178" spans="1:199" s="29" customFormat="1" ht="23.25" customHeight="1">
      <c r="A178" s="12" t="s">
        <v>93</v>
      </c>
      <c r="B178" s="12" t="s">
        <v>144</v>
      </c>
      <c r="C178" s="64" t="s">
        <v>353</v>
      </c>
      <c r="D178" s="12" t="s">
        <v>410</v>
      </c>
      <c r="E178" s="65">
        <v>43921</v>
      </c>
      <c r="F178" s="66">
        <v>43922</v>
      </c>
      <c r="G178" s="66">
        <v>43927</v>
      </c>
      <c r="H178" s="67">
        <v>0.002</v>
      </c>
      <c r="I178" s="60">
        <v>0.0025</v>
      </c>
      <c r="J178" s="93">
        <v>0</v>
      </c>
      <c r="K178" s="93">
        <v>0.0025</v>
      </c>
      <c r="L178" s="60">
        <f>+K178-((K178*0.949*0.125)+(K178*(1-0.949)*0.26))</f>
        <v>0.0021702875</v>
      </c>
      <c r="M178" s="60">
        <f t="shared" si="3"/>
        <v>0.0021702875</v>
      </c>
      <c r="N178" s="67" t="s">
        <v>248</v>
      </c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</row>
    <row r="179" spans="1:199" s="29" customFormat="1" ht="23.25" customHeight="1">
      <c r="A179" s="12"/>
      <c r="B179" s="12" t="s">
        <v>306</v>
      </c>
      <c r="C179" s="64" t="s">
        <v>430</v>
      </c>
      <c r="D179" s="12" t="s">
        <v>411</v>
      </c>
      <c r="E179" s="65">
        <v>43921</v>
      </c>
      <c r="F179" s="66">
        <v>43922</v>
      </c>
      <c r="G179" s="66">
        <v>43927</v>
      </c>
      <c r="H179" s="67">
        <v>0.02</v>
      </c>
      <c r="I179" s="60">
        <v>0.0084</v>
      </c>
      <c r="J179" s="93">
        <v>0</v>
      </c>
      <c r="K179" s="93">
        <v>0.0084</v>
      </c>
      <c r="L179" s="60">
        <f>+K179-((K179*0.0000001*0.125)+(K179*(1-0.0000001)*0.26))</f>
        <v>0.0062160001134</v>
      </c>
      <c r="M179" s="60">
        <f t="shared" si="3"/>
        <v>0.0062160001134</v>
      </c>
      <c r="N179" s="67" t="s">
        <v>251</v>
      </c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</row>
    <row r="180" spans="1:199" s="29" customFormat="1" ht="23.25" customHeight="1">
      <c r="A180" s="12" t="s">
        <v>184</v>
      </c>
      <c r="B180" s="68" t="s">
        <v>184</v>
      </c>
      <c r="C180" s="69" t="s">
        <v>354</v>
      </c>
      <c r="D180" s="12" t="s">
        <v>411</v>
      </c>
      <c r="E180" s="65">
        <v>43921</v>
      </c>
      <c r="F180" s="66">
        <v>43922</v>
      </c>
      <c r="G180" s="66">
        <v>43927</v>
      </c>
      <c r="H180" s="67">
        <v>0.02</v>
      </c>
      <c r="I180" s="60">
        <v>0.1688</v>
      </c>
      <c r="J180" s="93">
        <v>0</v>
      </c>
      <c r="K180" s="93">
        <v>0.1688</v>
      </c>
      <c r="L180" s="60">
        <f>+K180-((K180*0.0000001*0.125)+(K180*(1-0.0000001)*0.26))</f>
        <v>0.1249120022788</v>
      </c>
      <c r="M180" s="60">
        <f t="shared" si="3"/>
        <v>0.1249120022788</v>
      </c>
      <c r="N180" s="67" t="s">
        <v>251</v>
      </c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</row>
    <row r="181" spans="1:14" s="29" customFormat="1" ht="23.25" customHeight="1">
      <c r="A181" s="12" t="s">
        <v>192</v>
      </c>
      <c r="B181" s="73" t="s">
        <v>192</v>
      </c>
      <c r="C181" s="74" t="s">
        <v>355</v>
      </c>
      <c r="D181" s="73" t="s">
        <v>411</v>
      </c>
      <c r="E181" s="65">
        <v>43921</v>
      </c>
      <c r="F181" s="66">
        <v>43922</v>
      </c>
      <c r="G181" s="66">
        <v>43927</v>
      </c>
      <c r="H181" s="67">
        <v>0.02</v>
      </c>
      <c r="I181" s="60">
        <v>0.1698</v>
      </c>
      <c r="J181" s="93">
        <v>0</v>
      </c>
      <c r="K181" s="93">
        <v>0.1698</v>
      </c>
      <c r="L181" s="60">
        <f>+K181-((K181*0.0000001*0.125)+(K181*(1-0.0000001)*0.26))</f>
        <v>0.1256520022923</v>
      </c>
      <c r="M181" s="60">
        <f t="shared" si="3"/>
        <v>0.1256520022923</v>
      </c>
      <c r="N181" s="67" t="s">
        <v>251</v>
      </c>
    </row>
    <row r="182" spans="1:199" s="29" customFormat="1" ht="23.25" customHeight="1">
      <c r="A182" s="12"/>
      <c r="B182" s="12" t="s">
        <v>311</v>
      </c>
      <c r="C182" s="64" t="s">
        <v>425</v>
      </c>
      <c r="D182" s="12" t="s">
        <v>411</v>
      </c>
      <c r="E182" s="65">
        <v>43921</v>
      </c>
      <c r="F182" s="66">
        <v>43922</v>
      </c>
      <c r="G182" s="66">
        <v>43927</v>
      </c>
      <c r="H182" s="67">
        <v>0.01</v>
      </c>
      <c r="I182" s="60">
        <v>0.0042</v>
      </c>
      <c r="J182" s="93">
        <v>0</v>
      </c>
      <c r="K182" s="93">
        <v>0.0042</v>
      </c>
      <c r="L182" s="60">
        <f>+K182-((K182*0.0000000001*0.125)+(K182*(1-0.000000001)*0.26))</f>
        <v>0.0031080000010394997</v>
      </c>
      <c r="M182" s="60">
        <f t="shared" si="3"/>
        <v>0.0031080000010394997</v>
      </c>
      <c r="N182" s="67" t="s">
        <v>251</v>
      </c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</row>
    <row r="183" spans="1:199" s="29" customFormat="1" ht="23.25" customHeight="1">
      <c r="A183" s="12" t="s">
        <v>189</v>
      </c>
      <c r="B183" s="68" t="s">
        <v>189</v>
      </c>
      <c r="C183" s="69" t="s">
        <v>356</v>
      </c>
      <c r="D183" s="12" t="s">
        <v>411</v>
      </c>
      <c r="E183" s="65">
        <v>43921</v>
      </c>
      <c r="F183" s="66">
        <v>43922</v>
      </c>
      <c r="G183" s="66">
        <v>43927</v>
      </c>
      <c r="H183" s="67">
        <v>0.01</v>
      </c>
      <c r="I183" s="60">
        <v>0.0763</v>
      </c>
      <c r="J183" s="93">
        <v>0</v>
      </c>
      <c r="K183" s="93">
        <v>0.0763</v>
      </c>
      <c r="L183" s="60">
        <f>+K183-((K183*0.0000000001*0.125)+(K183*(1-0.000000001)*0.26))</f>
        <v>0.056462000018884254</v>
      </c>
      <c r="M183" s="60">
        <f t="shared" si="3"/>
        <v>0.056462000018884254</v>
      </c>
      <c r="N183" s="67" t="s">
        <v>251</v>
      </c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</row>
    <row r="184" spans="1:199" s="29" customFormat="1" ht="23.25" customHeight="1">
      <c r="A184" s="12" t="s">
        <v>197</v>
      </c>
      <c r="B184" s="73" t="s">
        <v>197</v>
      </c>
      <c r="C184" s="74" t="s">
        <v>357</v>
      </c>
      <c r="D184" s="73" t="s">
        <v>411</v>
      </c>
      <c r="E184" s="65">
        <v>43921</v>
      </c>
      <c r="F184" s="66">
        <v>43922</v>
      </c>
      <c r="G184" s="66">
        <v>43927</v>
      </c>
      <c r="H184" s="67">
        <v>0.01</v>
      </c>
      <c r="I184" s="60">
        <v>0.0774</v>
      </c>
      <c r="J184" s="93">
        <v>0</v>
      </c>
      <c r="K184" s="93">
        <v>0.0774</v>
      </c>
      <c r="L184" s="60">
        <f>+K184-((K184*0.0000000001*0.125)+(K184*(1-0.000000001)*0.26))</f>
        <v>0.057276000019156496</v>
      </c>
      <c r="M184" s="60">
        <f t="shared" si="3"/>
        <v>0.057276000019156496</v>
      </c>
      <c r="N184" s="67" t="s">
        <v>251</v>
      </c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</row>
    <row r="185" spans="1:199" s="29" customFormat="1" ht="23.25" customHeight="1">
      <c r="A185" s="12" t="s">
        <v>97</v>
      </c>
      <c r="B185" s="12" t="s">
        <v>148</v>
      </c>
      <c r="C185" s="64" t="s">
        <v>362</v>
      </c>
      <c r="D185" s="12" t="s">
        <v>410</v>
      </c>
      <c r="E185" s="65">
        <v>43921</v>
      </c>
      <c r="F185" s="66">
        <v>43922</v>
      </c>
      <c r="G185" s="66">
        <v>43927</v>
      </c>
      <c r="H185" s="67">
        <v>0.015</v>
      </c>
      <c r="I185" s="60">
        <v>0.0199</v>
      </c>
      <c r="J185" s="93">
        <v>0</v>
      </c>
      <c r="K185" s="93">
        <v>0.0199</v>
      </c>
      <c r="L185" s="60">
        <f>+K185-((K185*0.478*0.125)+(K185*(1-0.478)*0.26))</f>
        <v>0.016010147000000002</v>
      </c>
      <c r="M185" s="60">
        <f t="shared" si="3"/>
        <v>0.016010147000000002</v>
      </c>
      <c r="N185" s="67" t="s">
        <v>248</v>
      </c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</row>
    <row r="186" spans="1:199" s="29" customFormat="1" ht="23.25" customHeight="1">
      <c r="A186" s="12"/>
      <c r="B186" s="12" t="s">
        <v>308</v>
      </c>
      <c r="C186" s="64" t="s">
        <v>426</v>
      </c>
      <c r="D186" s="12" t="s">
        <v>411</v>
      </c>
      <c r="E186" s="65">
        <v>43921</v>
      </c>
      <c r="F186" s="66">
        <v>43922</v>
      </c>
      <c r="G186" s="66">
        <v>43927</v>
      </c>
      <c r="H186" s="67">
        <v>0.015</v>
      </c>
      <c r="I186" s="60">
        <v>0.0062</v>
      </c>
      <c r="J186" s="93">
        <v>0</v>
      </c>
      <c r="K186" s="93">
        <v>0.0062</v>
      </c>
      <c r="L186" s="60">
        <f>+K186-((K186*0.478*0.125)+(K186*(1-0.478)*0.26))</f>
        <v>0.004988086</v>
      </c>
      <c r="M186" s="60">
        <f t="shared" si="3"/>
        <v>0.004988086</v>
      </c>
      <c r="N186" s="67" t="s">
        <v>251</v>
      </c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</row>
    <row r="187" spans="1:199" s="29" customFormat="1" ht="23.25" customHeight="1">
      <c r="A187" s="12" t="s">
        <v>186</v>
      </c>
      <c r="B187" s="68" t="s">
        <v>186</v>
      </c>
      <c r="C187" s="69" t="s">
        <v>363</v>
      </c>
      <c r="D187" s="12" t="s">
        <v>411</v>
      </c>
      <c r="E187" s="65">
        <v>43921</v>
      </c>
      <c r="F187" s="66">
        <v>43922</v>
      </c>
      <c r="G187" s="66">
        <v>43927</v>
      </c>
      <c r="H187" s="67">
        <v>0.015</v>
      </c>
      <c r="I187" s="60">
        <v>0.114</v>
      </c>
      <c r="J187" s="93">
        <v>0</v>
      </c>
      <c r="K187" s="93">
        <v>0.114</v>
      </c>
      <c r="L187" s="60">
        <f>+K187-((K187*0.478*0.125)+(K187*(1-0.478)*0.26))</f>
        <v>0.09171641999999999</v>
      </c>
      <c r="M187" s="60">
        <f t="shared" si="3"/>
        <v>0.09171641999999999</v>
      </c>
      <c r="N187" s="67" t="s">
        <v>251</v>
      </c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</row>
    <row r="188" spans="1:199" s="29" customFormat="1" ht="23.25" customHeight="1">
      <c r="A188" s="12" t="s">
        <v>194</v>
      </c>
      <c r="B188" s="73" t="s">
        <v>194</v>
      </c>
      <c r="C188" s="74" t="s">
        <v>364</v>
      </c>
      <c r="D188" s="73" t="s">
        <v>411</v>
      </c>
      <c r="E188" s="65">
        <v>43921</v>
      </c>
      <c r="F188" s="66">
        <v>43922</v>
      </c>
      <c r="G188" s="66">
        <v>43927</v>
      </c>
      <c r="H188" s="67">
        <v>0.015</v>
      </c>
      <c r="I188" s="60">
        <v>0.1168</v>
      </c>
      <c r="J188" s="93">
        <v>0</v>
      </c>
      <c r="K188" s="93">
        <v>0.1168</v>
      </c>
      <c r="L188" s="60">
        <f>+K188-((K188*0.478*0.125)+(K188*(1-0.478)*0.26))</f>
        <v>0.093969104</v>
      </c>
      <c r="M188" s="60">
        <f t="shared" si="3"/>
        <v>0.093969104</v>
      </c>
      <c r="N188" s="67" t="s">
        <v>251</v>
      </c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</row>
    <row r="189" spans="1:199" s="29" customFormat="1" ht="23.25" customHeight="1">
      <c r="A189" s="12" t="s">
        <v>200</v>
      </c>
      <c r="B189" s="73" t="s">
        <v>200</v>
      </c>
      <c r="C189" s="74" t="s">
        <v>365</v>
      </c>
      <c r="D189" s="12" t="s">
        <v>410</v>
      </c>
      <c r="E189" s="65">
        <v>43921</v>
      </c>
      <c r="F189" s="66">
        <v>43922</v>
      </c>
      <c r="G189" s="66">
        <v>43927</v>
      </c>
      <c r="H189" s="67">
        <v>0.015</v>
      </c>
      <c r="I189" s="60">
        <v>0.3704</v>
      </c>
      <c r="J189" s="93">
        <v>0</v>
      </c>
      <c r="K189" s="93">
        <v>0.3704</v>
      </c>
      <c r="L189" s="60">
        <f>+K189-((K189*0.478*0.125)+(K189*(1-0.478)*0.26))</f>
        <v>0.29799791200000003</v>
      </c>
      <c r="M189" s="60">
        <f t="shared" si="3"/>
        <v>0.29799791200000003</v>
      </c>
      <c r="N189" s="67" t="s">
        <v>248</v>
      </c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</row>
    <row r="190" spans="1:14" s="29" customFormat="1" ht="23.25" customHeight="1">
      <c r="A190" s="12"/>
      <c r="B190" s="12" t="s">
        <v>307</v>
      </c>
      <c r="C190" s="64" t="s">
        <v>420</v>
      </c>
      <c r="D190" s="12" t="s">
        <v>411</v>
      </c>
      <c r="E190" s="65">
        <v>43921</v>
      </c>
      <c r="F190" s="66">
        <v>43922</v>
      </c>
      <c r="G190" s="66">
        <v>43927</v>
      </c>
      <c r="H190" s="67">
        <v>0.015</v>
      </c>
      <c r="I190" s="60">
        <v>0.0062</v>
      </c>
      <c r="J190" s="93">
        <v>0</v>
      </c>
      <c r="K190" s="93">
        <v>0.0062</v>
      </c>
      <c r="L190" s="60">
        <f>+K190-((K190*0.588*0.125)+(K190*(1-0.588)*0.26))</f>
        <v>0.005080156</v>
      </c>
      <c r="M190" s="60">
        <f t="shared" si="3"/>
        <v>0.005080156</v>
      </c>
      <c r="N190" s="67" t="s">
        <v>251</v>
      </c>
    </row>
    <row r="191" spans="1:199" s="29" customFormat="1" ht="23.25" customHeight="1">
      <c r="A191" s="12" t="s">
        <v>185</v>
      </c>
      <c r="B191" s="68" t="s">
        <v>185</v>
      </c>
      <c r="C191" s="69" t="s">
        <v>366</v>
      </c>
      <c r="D191" s="12" t="s">
        <v>411</v>
      </c>
      <c r="E191" s="65">
        <v>43921</v>
      </c>
      <c r="F191" s="66">
        <v>43922</v>
      </c>
      <c r="G191" s="66">
        <v>43927</v>
      </c>
      <c r="H191" s="67">
        <v>0.015</v>
      </c>
      <c r="I191" s="60">
        <v>0.1039</v>
      </c>
      <c r="J191" s="93">
        <v>0</v>
      </c>
      <c r="K191" s="93">
        <v>0.1039</v>
      </c>
      <c r="L191" s="60">
        <f>+K191-((K191*0.588*0.125)+(K191*(1-0.588)*0.26))</f>
        <v>0.08513358200000001</v>
      </c>
      <c r="M191" s="60">
        <f t="shared" si="3"/>
        <v>0.08513358200000001</v>
      </c>
      <c r="N191" s="67" t="s">
        <v>251</v>
      </c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</row>
    <row r="192" spans="1:14" s="29" customFormat="1" ht="23.25" customHeight="1">
      <c r="A192" s="12" t="s">
        <v>193</v>
      </c>
      <c r="B192" s="73" t="s">
        <v>193</v>
      </c>
      <c r="C192" s="74" t="s">
        <v>367</v>
      </c>
      <c r="D192" s="73" t="s">
        <v>411</v>
      </c>
      <c r="E192" s="65">
        <v>43921</v>
      </c>
      <c r="F192" s="66">
        <v>43922</v>
      </c>
      <c r="G192" s="66">
        <v>43927</v>
      </c>
      <c r="H192" s="67">
        <v>0.015</v>
      </c>
      <c r="I192" s="60">
        <v>0.1009</v>
      </c>
      <c r="J192" s="93">
        <v>0</v>
      </c>
      <c r="K192" s="93">
        <v>0.1009</v>
      </c>
      <c r="L192" s="60">
        <f>+K192-((K192*0.588*0.125)+(K192*(1-0.588)*0.26))</f>
        <v>0.082675442</v>
      </c>
      <c r="M192" s="60">
        <f t="shared" si="3"/>
        <v>0.082675442</v>
      </c>
      <c r="N192" s="67" t="s">
        <v>251</v>
      </c>
    </row>
    <row r="193" spans="1:199" s="29" customFormat="1" ht="23.25" customHeight="1">
      <c r="A193" s="12"/>
      <c r="B193" s="12" t="s">
        <v>309</v>
      </c>
      <c r="C193" s="64" t="s">
        <v>427</v>
      </c>
      <c r="D193" s="12" t="s">
        <v>411</v>
      </c>
      <c r="E193" s="65">
        <v>43921</v>
      </c>
      <c r="F193" s="66">
        <v>43922</v>
      </c>
      <c r="G193" s="66">
        <v>43927</v>
      </c>
      <c r="H193" s="67">
        <v>0.035</v>
      </c>
      <c r="I193" s="60">
        <v>0.0145</v>
      </c>
      <c r="J193" s="93">
        <v>0</v>
      </c>
      <c r="K193" s="93">
        <v>0.0145</v>
      </c>
      <c r="L193" s="60">
        <f>+K193-((K193*0.001*0.125)+(K193*(1-0.001)*0.26))</f>
        <v>0.0107319575</v>
      </c>
      <c r="M193" s="60">
        <f t="shared" si="3"/>
        <v>0.0107319575</v>
      </c>
      <c r="N193" s="67" t="s">
        <v>251</v>
      </c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</row>
    <row r="194" spans="1:14" s="29" customFormat="1" ht="23.25" customHeight="1">
      <c r="A194" s="12" t="s">
        <v>187</v>
      </c>
      <c r="B194" s="68" t="s">
        <v>187</v>
      </c>
      <c r="C194" s="69" t="s">
        <v>368</v>
      </c>
      <c r="D194" s="12" t="s">
        <v>411</v>
      </c>
      <c r="E194" s="65">
        <v>43921</v>
      </c>
      <c r="F194" s="66">
        <v>43922</v>
      </c>
      <c r="G194" s="66">
        <v>43927</v>
      </c>
      <c r="H194" s="67">
        <v>0.035</v>
      </c>
      <c r="I194" s="60">
        <v>0.2568</v>
      </c>
      <c r="J194" s="93">
        <v>0</v>
      </c>
      <c r="K194" s="93">
        <v>0.2568</v>
      </c>
      <c r="L194" s="60">
        <f>+K194-((K194*0.001*0.125)+(K194*(1-0.001)*0.26))</f>
        <v>0.190066668</v>
      </c>
      <c r="M194" s="60">
        <f t="shared" si="3"/>
        <v>0.190066668</v>
      </c>
      <c r="N194" s="67" t="s">
        <v>251</v>
      </c>
    </row>
    <row r="195" spans="1:14" s="29" customFormat="1" ht="23.25" customHeight="1">
      <c r="A195" s="12" t="s">
        <v>195</v>
      </c>
      <c r="B195" s="73" t="s">
        <v>195</v>
      </c>
      <c r="C195" s="74" t="s">
        <v>369</v>
      </c>
      <c r="D195" s="73" t="s">
        <v>411</v>
      </c>
      <c r="E195" s="65">
        <v>43921</v>
      </c>
      <c r="F195" s="66">
        <v>43922</v>
      </c>
      <c r="G195" s="66">
        <v>43927</v>
      </c>
      <c r="H195" s="67">
        <v>0.035</v>
      </c>
      <c r="I195" s="60">
        <v>0.264</v>
      </c>
      <c r="J195" s="93">
        <v>0</v>
      </c>
      <c r="K195" s="93">
        <v>0.264</v>
      </c>
      <c r="L195" s="60">
        <f>+K195-((K195*0.001*0.125)+(K195*(1-0.001)*0.26))</f>
        <v>0.19539563999999998</v>
      </c>
      <c r="M195" s="60">
        <f t="shared" si="3"/>
        <v>0.19539563999999998</v>
      </c>
      <c r="N195" s="67" t="s">
        <v>251</v>
      </c>
    </row>
    <row r="196" spans="1:199" s="29" customFormat="1" ht="23.25" customHeight="1">
      <c r="A196" s="12"/>
      <c r="B196" s="12" t="s">
        <v>312</v>
      </c>
      <c r="C196" s="64" t="s">
        <v>428</v>
      </c>
      <c r="D196" s="12" t="s">
        <v>411</v>
      </c>
      <c r="E196" s="65">
        <v>43921</v>
      </c>
      <c r="F196" s="66">
        <v>43922</v>
      </c>
      <c r="G196" s="66">
        <v>43927</v>
      </c>
      <c r="H196" s="67">
        <v>0.05</v>
      </c>
      <c r="I196" s="60">
        <v>0.0211</v>
      </c>
      <c r="J196" s="93">
        <v>0</v>
      </c>
      <c r="K196" s="93">
        <v>0.0211</v>
      </c>
      <c r="L196" s="60">
        <f>+K196-((K196*0.002*0.125)+(K196*(1-0.002)*0.26))</f>
        <v>0.015619697</v>
      </c>
      <c r="M196" s="60">
        <f t="shared" si="3"/>
        <v>0.015619697</v>
      </c>
      <c r="N196" s="67" t="s">
        <v>251</v>
      </c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</row>
    <row r="197" spans="1:199" s="29" customFormat="1" ht="23.25" customHeight="1">
      <c r="A197" s="12" t="s">
        <v>190</v>
      </c>
      <c r="B197" s="68" t="s">
        <v>190</v>
      </c>
      <c r="C197" s="69" t="s">
        <v>370</v>
      </c>
      <c r="D197" s="12" t="s">
        <v>411</v>
      </c>
      <c r="E197" s="65">
        <v>43921</v>
      </c>
      <c r="F197" s="66">
        <v>43922</v>
      </c>
      <c r="G197" s="66">
        <v>43927</v>
      </c>
      <c r="H197" s="67">
        <v>0.05</v>
      </c>
      <c r="I197" s="60">
        <v>0.3999</v>
      </c>
      <c r="J197" s="93">
        <v>0</v>
      </c>
      <c r="K197" s="93">
        <v>0.3999</v>
      </c>
      <c r="L197" s="60">
        <f>+K197-((K197*0.002*0.125)+(K197*(1-0.002)*0.26))</f>
        <v>0.296033973</v>
      </c>
      <c r="M197" s="60">
        <f t="shared" si="3"/>
        <v>0.296033973</v>
      </c>
      <c r="N197" s="67" t="s">
        <v>251</v>
      </c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94"/>
      <c r="GQ197" s="94"/>
    </row>
    <row r="198" spans="1:199" s="29" customFormat="1" ht="23.25" customHeight="1">
      <c r="A198" s="12" t="s">
        <v>198</v>
      </c>
      <c r="B198" s="73" t="s">
        <v>198</v>
      </c>
      <c r="C198" s="74" t="s">
        <v>371</v>
      </c>
      <c r="D198" s="73" t="s">
        <v>411</v>
      </c>
      <c r="E198" s="65">
        <v>43921</v>
      </c>
      <c r="F198" s="66">
        <v>43922</v>
      </c>
      <c r="G198" s="66">
        <v>43927</v>
      </c>
      <c r="H198" s="67">
        <v>0.05</v>
      </c>
      <c r="I198" s="60">
        <v>0.3995</v>
      </c>
      <c r="J198" s="93">
        <v>0</v>
      </c>
      <c r="K198" s="93">
        <v>0.3995</v>
      </c>
      <c r="L198" s="60">
        <f>+K198-((K198*0.002*0.125)+(K198*(1-0.002)*0.26))</f>
        <v>0.295737865</v>
      </c>
      <c r="M198" s="60">
        <f aca="true" t="shared" si="4" ref="M198:M261">J198+L198</f>
        <v>0.295737865</v>
      </c>
      <c r="N198" s="67" t="s">
        <v>251</v>
      </c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</row>
    <row r="199" spans="1:252" s="29" customFormat="1" ht="23.25" customHeight="1">
      <c r="A199" s="12"/>
      <c r="B199" s="12" t="s">
        <v>516</v>
      </c>
      <c r="C199" s="64" t="s">
        <v>518</v>
      </c>
      <c r="D199" s="12" t="s">
        <v>411</v>
      </c>
      <c r="E199" s="65">
        <v>43921</v>
      </c>
      <c r="F199" s="66">
        <v>43922</v>
      </c>
      <c r="G199" s="66">
        <v>43927</v>
      </c>
      <c r="H199" s="128">
        <v>0.02</v>
      </c>
      <c r="I199" s="60">
        <v>0.1357</v>
      </c>
      <c r="J199" s="93">
        <v>0</v>
      </c>
      <c r="K199" s="93">
        <v>0.1357</v>
      </c>
      <c r="L199" s="60">
        <f>+K199-((K199*0.532*0.125)+(K199*(1-0.532)*0.26))</f>
        <v>0.110163974</v>
      </c>
      <c r="M199" s="60">
        <f t="shared" si="4"/>
        <v>0.110163974</v>
      </c>
      <c r="N199" s="67" t="s">
        <v>251</v>
      </c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</row>
    <row r="200" spans="1:252" s="29" customFormat="1" ht="23.25" customHeight="1">
      <c r="A200" s="12"/>
      <c r="B200" s="12" t="s">
        <v>517</v>
      </c>
      <c r="C200" s="64" t="s">
        <v>519</v>
      </c>
      <c r="D200" s="12" t="s">
        <v>411</v>
      </c>
      <c r="E200" s="65">
        <v>43921</v>
      </c>
      <c r="F200" s="66">
        <v>43922</v>
      </c>
      <c r="G200" s="66">
        <v>43927</v>
      </c>
      <c r="H200" s="128">
        <v>0.02</v>
      </c>
      <c r="I200" s="60">
        <v>0.1364</v>
      </c>
      <c r="J200" s="93">
        <v>0</v>
      </c>
      <c r="K200" s="93">
        <v>0.1364</v>
      </c>
      <c r="L200" s="60">
        <f>+K200-((K200*0.532*0.125)+(K200*(1-0.532)*0.26))</f>
        <v>0.11073224799999999</v>
      </c>
      <c r="M200" s="60">
        <f t="shared" si="4"/>
        <v>0.11073224799999999</v>
      </c>
      <c r="N200" s="67" t="s">
        <v>251</v>
      </c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</row>
    <row r="201" spans="1:199" s="29" customFormat="1" ht="23.25" customHeight="1">
      <c r="A201" s="12" t="s">
        <v>58</v>
      </c>
      <c r="B201" s="73" t="s">
        <v>173</v>
      </c>
      <c r="C201" s="74" t="s">
        <v>372</v>
      </c>
      <c r="D201" s="12" t="s">
        <v>410</v>
      </c>
      <c r="E201" s="65">
        <v>43921</v>
      </c>
      <c r="F201" s="66">
        <v>43922</v>
      </c>
      <c r="G201" s="66">
        <v>43927</v>
      </c>
      <c r="H201" s="67">
        <v>0.01</v>
      </c>
      <c r="I201" s="60">
        <v>0.0131</v>
      </c>
      <c r="J201" s="93">
        <v>0</v>
      </c>
      <c r="K201" s="93">
        <v>0.0131</v>
      </c>
      <c r="L201" s="60">
        <f>+K201-((K201*0.4*0.125)+(K201*(1-0.4)*0.26))</f>
        <v>0.0104014</v>
      </c>
      <c r="M201" s="60">
        <f t="shared" si="4"/>
        <v>0.0104014</v>
      </c>
      <c r="N201" s="67" t="s">
        <v>248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</row>
    <row r="202" spans="1:199" s="29" customFormat="1" ht="23.25" customHeight="1">
      <c r="A202" s="12" t="s">
        <v>99</v>
      </c>
      <c r="B202" s="12" t="s">
        <v>150</v>
      </c>
      <c r="C202" s="64" t="s">
        <v>377</v>
      </c>
      <c r="D202" s="12" t="s">
        <v>410</v>
      </c>
      <c r="E202" s="65">
        <v>43921</v>
      </c>
      <c r="F202" s="66">
        <v>43922</v>
      </c>
      <c r="G202" s="66">
        <v>43927</v>
      </c>
      <c r="H202" s="67">
        <v>0.0225</v>
      </c>
      <c r="I202" s="60">
        <v>0.0317</v>
      </c>
      <c r="J202" s="93">
        <v>0</v>
      </c>
      <c r="K202" s="93">
        <v>0.0317</v>
      </c>
      <c r="L202" s="60">
        <f>+K202-((K202*0.00000001*0.125)+(K202*(1-0.00000001)*0.26))</f>
        <v>0.023458000042795</v>
      </c>
      <c r="M202" s="60">
        <f t="shared" si="4"/>
        <v>0.023458000042795</v>
      </c>
      <c r="N202" s="67" t="s">
        <v>248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  <c r="FL202" s="95"/>
      <c r="FM202" s="95"/>
      <c r="FN202" s="95"/>
      <c r="FO202" s="95"/>
      <c r="FP202" s="95"/>
      <c r="FQ202" s="95"/>
      <c r="FR202" s="95"/>
      <c r="FS202" s="95"/>
      <c r="FT202" s="95"/>
      <c r="FU202" s="95"/>
      <c r="FV202" s="95"/>
      <c r="FW202" s="95"/>
      <c r="FX202" s="95"/>
      <c r="FY202" s="95"/>
      <c r="FZ202" s="95"/>
      <c r="GA202" s="95"/>
      <c r="GB202" s="95"/>
      <c r="GC202" s="95"/>
      <c r="GD202" s="95"/>
      <c r="GE202" s="95"/>
      <c r="GF202" s="95"/>
      <c r="GG202" s="95"/>
      <c r="GH202" s="95"/>
      <c r="GI202" s="95"/>
      <c r="GJ202" s="95"/>
      <c r="GK202" s="95"/>
      <c r="GL202" s="95"/>
      <c r="GM202" s="95"/>
      <c r="GN202" s="95"/>
      <c r="GO202" s="95"/>
      <c r="GP202" s="95"/>
      <c r="GQ202" s="95"/>
    </row>
    <row r="203" spans="1:199" s="29" customFormat="1" ht="23.25" customHeight="1">
      <c r="A203" s="12"/>
      <c r="B203" s="12" t="s">
        <v>513</v>
      </c>
      <c r="C203" s="64" t="s">
        <v>512</v>
      </c>
      <c r="D203" s="12" t="s">
        <v>410</v>
      </c>
      <c r="E203" s="65">
        <v>43921</v>
      </c>
      <c r="F203" s="66">
        <v>43922</v>
      </c>
      <c r="G203" s="66">
        <v>43927</v>
      </c>
      <c r="H203" s="67">
        <v>0.0225</v>
      </c>
      <c r="I203" s="60">
        <v>0.0281</v>
      </c>
      <c r="J203" s="93">
        <v>0</v>
      </c>
      <c r="K203" s="93">
        <v>0.0281</v>
      </c>
      <c r="L203" s="60">
        <f>+K203-((K203*0.00000001*0.125)+(K203*(1-0.00000001)*0.26))</f>
        <v>0.020794000037935</v>
      </c>
      <c r="M203" s="60">
        <f t="shared" si="4"/>
        <v>0.020794000037935</v>
      </c>
      <c r="N203" s="67" t="s">
        <v>248</v>
      </c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  <c r="FR203" s="95"/>
      <c r="FS203" s="95"/>
      <c r="FT203" s="95"/>
      <c r="FU203" s="95"/>
      <c r="FV203" s="95"/>
      <c r="FW203" s="95"/>
      <c r="FX203" s="95"/>
      <c r="FY203" s="95"/>
      <c r="FZ203" s="95"/>
      <c r="GA203" s="95"/>
      <c r="GB203" s="95"/>
      <c r="GC203" s="95"/>
      <c r="GD203" s="95"/>
      <c r="GE203" s="95"/>
      <c r="GF203" s="95"/>
      <c r="GG203" s="95"/>
      <c r="GH203" s="95"/>
      <c r="GI203" s="95"/>
      <c r="GJ203" s="95"/>
      <c r="GK203" s="95"/>
      <c r="GL203" s="95"/>
      <c r="GM203" s="95"/>
      <c r="GN203" s="95"/>
      <c r="GO203" s="95"/>
      <c r="GP203" s="95"/>
      <c r="GQ203" s="95"/>
    </row>
    <row r="204" spans="1:199" s="29" customFormat="1" ht="23.25" customHeight="1">
      <c r="A204" s="12"/>
      <c r="B204" s="12" t="s">
        <v>441</v>
      </c>
      <c r="C204" s="64" t="s">
        <v>444</v>
      </c>
      <c r="D204" s="12" t="s">
        <v>410</v>
      </c>
      <c r="E204" s="65">
        <v>43921</v>
      </c>
      <c r="F204" s="66">
        <v>43922</v>
      </c>
      <c r="G204" s="66">
        <v>43927</v>
      </c>
      <c r="H204" s="67">
        <v>0.015</v>
      </c>
      <c r="I204" s="93">
        <v>0.0187</v>
      </c>
      <c r="J204" s="93">
        <v>0</v>
      </c>
      <c r="K204" s="93">
        <v>0.0187</v>
      </c>
      <c r="L204" s="60">
        <f>+K204-((K204*0.199*0.125)+(K204*(1-0.199)*0.26))</f>
        <v>0.014340375500000002</v>
      </c>
      <c r="M204" s="60">
        <f t="shared" si="4"/>
        <v>0.014340375500000002</v>
      </c>
      <c r="N204" s="67" t="s">
        <v>248</v>
      </c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  <c r="FL204" s="95"/>
      <c r="FM204" s="95"/>
      <c r="FN204" s="95"/>
      <c r="FO204" s="95"/>
      <c r="FP204" s="95"/>
      <c r="FQ204" s="95"/>
      <c r="FR204" s="95"/>
      <c r="FS204" s="95"/>
      <c r="FT204" s="95"/>
      <c r="FU204" s="95"/>
      <c r="FV204" s="95"/>
      <c r="FW204" s="95"/>
      <c r="FX204" s="95"/>
      <c r="FY204" s="95"/>
      <c r="FZ204" s="95"/>
      <c r="GA204" s="95"/>
      <c r="GB204" s="95"/>
      <c r="GC204" s="95"/>
      <c r="GD204" s="95"/>
      <c r="GE204" s="95"/>
      <c r="GF204" s="95"/>
      <c r="GG204" s="95"/>
      <c r="GH204" s="95"/>
      <c r="GI204" s="95"/>
      <c r="GJ204" s="95"/>
      <c r="GK204" s="95"/>
      <c r="GL204" s="95"/>
      <c r="GM204" s="95"/>
      <c r="GN204" s="95"/>
      <c r="GO204" s="95"/>
      <c r="GP204" s="95"/>
      <c r="GQ204" s="95"/>
    </row>
    <row r="205" spans="1:199" s="29" customFormat="1" ht="23.25" customHeight="1">
      <c r="A205" s="12"/>
      <c r="B205" s="12" t="s">
        <v>439</v>
      </c>
      <c r="C205" s="64" t="s">
        <v>442</v>
      </c>
      <c r="D205" s="12" t="s">
        <v>410</v>
      </c>
      <c r="E205" s="65">
        <v>43921</v>
      </c>
      <c r="F205" s="66">
        <v>43922</v>
      </c>
      <c r="G205" s="66">
        <v>43927</v>
      </c>
      <c r="H205" s="67">
        <v>0.015</v>
      </c>
      <c r="I205" s="93">
        <v>0.377</v>
      </c>
      <c r="J205" s="93">
        <v>0</v>
      </c>
      <c r="K205" s="93">
        <v>0.377</v>
      </c>
      <c r="L205" s="60">
        <f>+K205-((K205*0.199*0.125)+(K205*(1-0.199)*0.26))</f>
        <v>0.289108105</v>
      </c>
      <c r="M205" s="60">
        <f t="shared" si="4"/>
        <v>0.289108105</v>
      </c>
      <c r="N205" s="67" t="s">
        <v>248</v>
      </c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</row>
    <row r="206" spans="1:199" s="29" customFormat="1" ht="23.25" customHeight="1">
      <c r="A206" s="12"/>
      <c r="B206" s="12" t="s">
        <v>440</v>
      </c>
      <c r="C206" s="64" t="s">
        <v>443</v>
      </c>
      <c r="D206" s="12" t="s">
        <v>410</v>
      </c>
      <c r="E206" s="65">
        <v>43921</v>
      </c>
      <c r="F206" s="66">
        <v>43922</v>
      </c>
      <c r="G206" s="66">
        <v>43927</v>
      </c>
      <c r="H206" s="67">
        <v>0.015</v>
      </c>
      <c r="I206" s="93">
        <v>0.3792</v>
      </c>
      <c r="J206" s="93">
        <v>0</v>
      </c>
      <c r="K206" s="93">
        <v>0.3792</v>
      </c>
      <c r="L206" s="60">
        <f>+K206-((K206*0.199*0.125)+(K206*(1-0.199)*0.26))</f>
        <v>0.29079520799999997</v>
      </c>
      <c r="M206" s="60">
        <f t="shared" si="4"/>
        <v>0.29079520799999997</v>
      </c>
      <c r="N206" s="67" t="s">
        <v>248</v>
      </c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</row>
    <row r="207" spans="1:199" s="29" customFormat="1" ht="23.25" customHeight="1">
      <c r="A207" s="12"/>
      <c r="B207" s="12" t="s">
        <v>299</v>
      </c>
      <c r="C207" s="64" t="s">
        <v>520</v>
      </c>
      <c r="D207" s="12" t="s">
        <v>410</v>
      </c>
      <c r="E207" s="65">
        <v>43921</v>
      </c>
      <c r="F207" s="66">
        <v>43922</v>
      </c>
      <c r="G207" s="66">
        <v>43927</v>
      </c>
      <c r="H207" s="67">
        <v>0.015</v>
      </c>
      <c r="I207" s="60">
        <v>0.0187</v>
      </c>
      <c r="J207" s="93">
        <v>0.0187</v>
      </c>
      <c r="K207" s="93">
        <v>0</v>
      </c>
      <c r="L207" s="60">
        <f>+K207-((K207*0.345*0.125)+(K207*(1-0.345)*0.26))</f>
        <v>0</v>
      </c>
      <c r="M207" s="60">
        <f t="shared" si="4"/>
        <v>0.0187</v>
      </c>
      <c r="N207" s="67" t="s">
        <v>248</v>
      </c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</row>
    <row r="208" spans="1:199" s="29" customFormat="1" ht="23.25" customHeight="1">
      <c r="A208" s="12" t="s">
        <v>182</v>
      </c>
      <c r="B208" s="68" t="s">
        <v>182</v>
      </c>
      <c r="C208" s="69" t="s">
        <v>479</v>
      </c>
      <c r="D208" s="12" t="s">
        <v>410</v>
      </c>
      <c r="E208" s="65">
        <v>43921</v>
      </c>
      <c r="F208" s="66">
        <v>43922</v>
      </c>
      <c r="G208" s="66">
        <v>43927</v>
      </c>
      <c r="H208" s="67">
        <v>0.015</v>
      </c>
      <c r="I208" s="60">
        <v>0.3656</v>
      </c>
      <c r="J208" s="93">
        <v>0</v>
      </c>
      <c r="K208" s="93">
        <v>0.3656</v>
      </c>
      <c r="L208" s="60">
        <f>+K208-((K208*0.345*0.125)+(K208*(1-0.345)*0.26))</f>
        <v>0.28757182</v>
      </c>
      <c r="M208" s="60">
        <f t="shared" si="4"/>
        <v>0.28757182</v>
      </c>
      <c r="N208" s="67" t="s">
        <v>248</v>
      </c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</row>
    <row r="209" spans="1:14" s="29" customFormat="1" ht="23.25" customHeight="1">
      <c r="A209" s="12" t="s">
        <v>202</v>
      </c>
      <c r="B209" s="73" t="s">
        <v>202</v>
      </c>
      <c r="C209" s="74" t="s">
        <v>480</v>
      </c>
      <c r="D209" s="12" t="s">
        <v>410</v>
      </c>
      <c r="E209" s="65">
        <v>43921</v>
      </c>
      <c r="F209" s="66">
        <v>43922</v>
      </c>
      <c r="G209" s="66">
        <v>43927</v>
      </c>
      <c r="H209" s="67">
        <v>0.015</v>
      </c>
      <c r="I209" s="60">
        <v>0.3681</v>
      </c>
      <c r="J209" s="93">
        <v>0</v>
      </c>
      <c r="K209" s="93">
        <v>0.3681</v>
      </c>
      <c r="L209" s="60">
        <f>+K209-((K209*0.345*0.125)+(K209*(1-0.345)*0.26))</f>
        <v>0.28953825749999995</v>
      </c>
      <c r="M209" s="60">
        <f t="shared" si="4"/>
        <v>0.28953825749999995</v>
      </c>
      <c r="N209" s="67" t="s">
        <v>248</v>
      </c>
    </row>
    <row r="210" spans="1:14" s="29" customFormat="1" ht="23.25" customHeight="1">
      <c r="A210" s="12" t="s">
        <v>95</v>
      </c>
      <c r="B210" s="12" t="s">
        <v>146</v>
      </c>
      <c r="C210" s="64" t="s">
        <v>380</v>
      </c>
      <c r="D210" s="12" t="s">
        <v>410</v>
      </c>
      <c r="E210" s="65">
        <v>43921</v>
      </c>
      <c r="F210" s="66">
        <v>43922</v>
      </c>
      <c r="G210" s="66">
        <v>43927</v>
      </c>
      <c r="H210" s="67">
        <v>0.025</v>
      </c>
      <c r="I210" s="60">
        <v>0.0395</v>
      </c>
      <c r="J210" s="93">
        <v>0</v>
      </c>
      <c r="K210" s="93">
        <v>0.0395</v>
      </c>
      <c r="L210" s="60">
        <f>+K210-((K210*0.004*0.125)+(K210*(1-0.004)*0.26))</f>
        <v>0.02925133</v>
      </c>
      <c r="M210" s="60">
        <f t="shared" si="4"/>
        <v>0.02925133</v>
      </c>
      <c r="N210" s="67" t="s">
        <v>248</v>
      </c>
    </row>
    <row r="211" spans="1:14" s="29" customFormat="1" ht="23.25" customHeight="1">
      <c r="A211" s="12" t="s">
        <v>10</v>
      </c>
      <c r="B211" s="68" t="s">
        <v>163</v>
      </c>
      <c r="C211" s="69" t="s">
        <v>381</v>
      </c>
      <c r="D211" s="12" t="s">
        <v>410</v>
      </c>
      <c r="E211" s="65">
        <v>43921</v>
      </c>
      <c r="F211" s="66">
        <v>43922</v>
      </c>
      <c r="G211" s="66">
        <v>43927</v>
      </c>
      <c r="H211" s="67">
        <v>0.025</v>
      </c>
      <c r="I211" s="60">
        <v>0.0357</v>
      </c>
      <c r="J211" s="93">
        <v>0</v>
      </c>
      <c r="K211" s="93">
        <v>0.0357</v>
      </c>
      <c r="L211" s="60">
        <f>+K211-((K211*0.004*0.125)+(K211*(1-0.004)*0.26))</f>
        <v>0.026437278</v>
      </c>
      <c r="M211" s="60">
        <f t="shared" si="4"/>
        <v>0.026437278</v>
      </c>
      <c r="N211" s="67" t="s">
        <v>248</v>
      </c>
    </row>
    <row r="212" spans="1:14" s="29" customFormat="1" ht="23.25" customHeight="1">
      <c r="A212" s="12" t="s">
        <v>100</v>
      </c>
      <c r="B212" s="12" t="s">
        <v>151</v>
      </c>
      <c r="C212" s="64" t="s">
        <v>383</v>
      </c>
      <c r="D212" s="12" t="s">
        <v>410</v>
      </c>
      <c r="E212" s="65">
        <v>43921</v>
      </c>
      <c r="F212" s="66">
        <v>43922</v>
      </c>
      <c r="G212" s="66">
        <v>43927</v>
      </c>
      <c r="H212" s="67">
        <v>0.023</v>
      </c>
      <c r="I212" s="60">
        <v>0.0288</v>
      </c>
      <c r="J212" s="93">
        <v>0</v>
      </c>
      <c r="K212" s="93">
        <v>0.0288</v>
      </c>
      <c r="L212" s="60">
        <f>+K212-((K212*0.004*0.125)+(K212*(1-0.004)*0.26))</f>
        <v>0.021327552</v>
      </c>
      <c r="M212" s="60">
        <f t="shared" si="4"/>
        <v>0.021327552</v>
      </c>
      <c r="N212" s="67" t="s">
        <v>248</v>
      </c>
    </row>
    <row r="213" spans="1:14" s="30" customFormat="1" ht="26.25" customHeight="1">
      <c r="A213" s="12" t="s">
        <v>27</v>
      </c>
      <c r="B213" s="68" t="s">
        <v>166</v>
      </c>
      <c r="C213" s="69" t="s">
        <v>384</v>
      </c>
      <c r="D213" s="12" t="s">
        <v>410</v>
      </c>
      <c r="E213" s="65">
        <v>43921</v>
      </c>
      <c r="F213" s="66">
        <v>43922</v>
      </c>
      <c r="G213" s="66">
        <v>43927</v>
      </c>
      <c r="H213" s="67">
        <v>0.023</v>
      </c>
      <c r="I213" s="60">
        <v>0.0288</v>
      </c>
      <c r="J213" s="93">
        <v>0</v>
      </c>
      <c r="K213" s="93">
        <v>0.0288</v>
      </c>
      <c r="L213" s="60">
        <f>+K213-((K213*0.004*0.125)+(K213*(1-0.004)*0.26))</f>
        <v>0.021327552</v>
      </c>
      <c r="M213" s="60">
        <f t="shared" si="4"/>
        <v>0.021327552</v>
      </c>
      <c r="N213" s="67" t="s">
        <v>248</v>
      </c>
    </row>
    <row r="214" spans="1:14" s="30" customFormat="1" ht="23.25" customHeight="1">
      <c r="A214" s="12" t="s">
        <v>98</v>
      </c>
      <c r="B214" s="12" t="s">
        <v>149</v>
      </c>
      <c r="C214" s="64" t="s">
        <v>386</v>
      </c>
      <c r="D214" s="12" t="s">
        <v>410</v>
      </c>
      <c r="E214" s="65">
        <v>43921</v>
      </c>
      <c r="F214" s="66">
        <v>43922</v>
      </c>
      <c r="G214" s="66">
        <v>43927</v>
      </c>
      <c r="H214" s="67">
        <v>0.05</v>
      </c>
      <c r="I214" s="60">
        <v>0.0764</v>
      </c>
      <c r="J214" s="93">
        <v>0</v>
      </c>
      <c r="K214" s="93">
        <v>0.0764</v>
      </c>
      <c r="L214" s="60">
        <f>+K214-((K214*0.09*0.125)+(K214*(1-0.092)*0.26))</f>
        <v>0.057503988</v>
      </c>
      <c r="M214" s="60">
        <f t="shared" si="4"/>
        <v>0.057503988</v>
      </c>
      <c r="N214" s="67" t="s">
        <v>248</v>
      </c>
    </row>
    <row r="215" spans="1:14" s="30" customFormat="1" ht="23.25" customHeight="1">
      <c r="A215" s="12" t="s">
        <v>11</v>
      </c>
      <c r="B215" s="68" t="s">
        <v>165</v>
      </c>
      <c r="C215" s="69" t="s">
        <v>387</v>
      </c>
      <c r="D215" s="12" t="s">
        <v>410</v>
      </c>
      <c r="E215" s="65">
        <v>43921</v>
      </c>
      <c r="F215" s="66">
        <v>43922</v>
      </c>
      <c r="G215" s="66">
        <v>43927</v>
      </c>
      <c r="H215" s="67">
        <v>0.05</v>
      </c>
      <c r="I215" s="60">
        <v>0.0722</v>
      </c>
      <c r="J215" s="93">
        <v>0</v>
      </c>
      <c r="K215" s="93">
        <v>0.0722</v>
      </c>
      <c r="L215" s="60">
        <f>+K215-((K215*0.09*0.125)+(K215*(1-0.092)*0.26))</f>
        <v>0.054342773999999996</v>
      </c>
      <c r="M215" s="60">
        <f t="shared" si="4"/>
        <v>0.054342773999999996</v>
      </c>
      <c r="N215" s="67" t="s">
        <v>248</v>
      </c>
    </row>
    <row r="216" spans="1:14" s="30" customFormat="1" ht="23.25" customHeight="1">
      <c r="A216" s="12" t="s">
        <v>102</v>
      </c>
      <c r="B216" s="12" t="s">
        <v>153</v>
      </c>
      <c r="C216" s="64" t="s">
        <v>394</v>
      </c>
      <c r="D216" s="12" t="s">
        <v>410</v>
      </c>
      <c r="E216" s="65">
        <v>43921</v>
      </c>
      <c r="F216" s="66">
        <v>43922</v>
      </c>
      <c r="G216" s="66">
        <v>43927</v>
      </c>
      <c r="H216" s="67">
        <v>0.025</v>
      </c>
      <c r="I216" s="60">
        <v>0.0301</v>
      </c>
      <c r="J216" s="93">
        <v>0</v>
      </c>
      <c r="K216" s="93">
        <v>0.0301</v>
      </c>
      <c r="L216" s="60">
        <f>+K216-((K216*0.089*0.125)+(K216*(1-0.089)*0.26))</f>
        <v>0.0226356515</v>
      </c>
      <c r="M216" s="60">
        <f t="shared" si="4"/>
        <v>0.0226356515</v>
      </c>
      <c r="N216" s="67" t="s">
        <v>248</v>
      </c>
    </row>
    <row r="217" spans="1:14" s="30" customFormat="1" ht="23.25" customHeight="1">
      <c r="A217" s="12" t="s">
        <v>101</v>
      </c>
      <c r="B217" s="12" t="s">
        <v>152</v>
      </c>
      <c r="C217" s="64" t="s">
        <v>395</v>
      </c>
      <c r="D217" s="12" t="s">
        <v>410</v>
      </c>
      <c r="E217" s="65">
        <v>43921</v>
      </c>
      <c r="F217" s="66">
        <v>43922</v>
      </c>
      <c r="G217" s="66">
        <v>43927</v>
      </c>
      <c r="H217" s="67">
        <v>0.025</v>
      </c>
      <c r="I217" s="60">
        <v>0.0406</v>
      </c>
      <c r="J217" s="93">
        <v>0</v>
      </c>
      <c r="K217" s="93">
        <v>0.0406</v>
      </c>
      <c r="L217" s="60">
        <f>+K217-((K217*0.089*0.125)+(K217*(1-0.089)*0.26))</f>
        <v>0.030531808999999997</v>
      </c>
      <c r="M217" s="60">
        <f t="shared" si="4"/>
        <v>0.030531808999999997</v>
      </c>
      <c r="N217" s="67" t="s">
        <v>248</v>
      </c>
    </row>
    <row r="218" spans="1:199" s="30" customFormat="1" ht="26.25" customHeight="1">
      <c r="A218" s="12" t="s">
        <v>12</v>
      </c>
      <c r="B218" s="68" t="s">
        <v>167</v>
      </c>
      <c r="C218" s="69" t="s">
        <v>396</v>
      </c>
      <c r="D218" s="12" t="s">
        <v>410</v>
      </c>
      <c r="E218" s="65">
        <v>43921</v>
      </c>
      <c r="F218" s="66">
        <v>43922</v>
      </c>
      <c r="G218" s="66">
        <v>43927</v>
      </c>
      <c r="H218" s="67">
        <v>0.025</v>
      </c>
      <c r="I218" s="60">
        <v>0.0392</v>
      </c>
      <c r="J218" s="93">
        <v>0</v>
      </c>
      <c r="K218" s="93">
        <v>0.0392</v>
      </c>
      <c r="L218" s="60">
        <f>+K218-((K218*0.089*0.125)+(K218*(1-0.089)*0.26))</f>
        <v>0.029478987999999998</v>
      </c>
      <c r="M218" s="60">
        <f t="shared" si="4"/>
        <v>0.029478987999999998</v>
      </c>
      <c r="N218" s="67" t="s">
        <v>248</v>
      </c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</row>
    <row r="219" spans="1:14" s="30" customFormat="1" ht="26.25" customHeight="1">
      <c r="A219" s="12"/>
      <c r="B219" s="12" t="s">
        <v>301</v>
      </c>
      <c r="C219" s="64" t="s">
        <v>407</v>
      </c>
      <c r="D219" s="12" t="s">
        <v>410</v>
      </c>
      <c r="E219" s="65">
        <v>43921</v>
      </c>
      <c r="F219" s="66">
        <v>43922</v>
      </c>
      <c r="G219" s="66">
        <v>43927</v>
      </c>
      <c r="H219" s="67">
        <v>0.025</v>
      </c>
      <c r="I219" s="60">
        <v>0.0309</v>
      </c>
      <c r="J219" s="93">
        <v>0</v>
      </c>
      <c r="K219" s="93">
        <v>0.0309</v>
      </c>
      <c r="L219" s="60">
        <f>+K219-((K219*0.089*0.125)+(K219*(1-0.089)*0.26))</f>
        <v>0.0232372635</v>
      </c>
      <c r="M219" s="60">
        <f t="shared" si="4"/>
        <v>0.0232372635</v>
      </c>
      <c r="N219" s="67" t="s">
        <v>248</v>
      </c>
    </row>
    <row r="220" spans="1:199" s="30" customFormat="1" ht="26.25" customHeight="1">
      <c r="A220" s="12"/>
      <c r="B220" s="12" t="s">
        <v>304</v>
      </c>
      <c r="C220" s="64" t="s">
        <v>408</v>
      </c>
      <c r="D220" s="12" t="s">
        <v>410</v>
      </c>
      <c r="E220" s="65">
        <v>43921</v>
      </c>
      <c r="F220" s="66">
        <v>43922</v>
      </c>
      <c r="G220" s="66">
        <v>43927</v>
      </c>
      <c r="H220" s="70">
        <v>0.0225</v>
      </c>
      <c r="I220" s="60">
        <v>0.0278</v>
      </c>
      <c r="J220" s="93">
        <v>0</v>
      </c>
      <c r="K220" s="93">
        <v>0.0278</v>
      </c>
      <c r="L220" s="60">
        <f>+K220-((K220*0.135*0.125)+(K220*(1-0.135)*0.26))</f>
        <v>0.021078654999999998</v>
      </c>
      <c r="M220" s="60">
        <f t="shared" si="4"/>
        <v>0.021078654999999998</v>
      </c>
      <c r="N220" s="67" t="s">
        <v>248</v>
      </c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</row>
    <row r="221" spans="1:199" s="30" customFormat="1" ht="26.25" customHeight="1">
      <c r="A221" s="12" t="s">
        <v>230</v>
      </c>
      <c r="B221" s="68" t="s">
        <v>183</v>
      </c>
      <c r="C221" s="69" t="s">
        <v>398</v>
      </c>
      <c r="D221" s="12" t="s">
        <v>410</v>
      </c>
      <c r="E221" s="65">
        <v>43921</v>
      </c>
      <c r="F221" s="66">
        <v>43922</v>
      </c>
      <c r="G221" s="66">
        <v>43927</v>
      </c>
      <c r="H221" s="70">
        <v>0.0225</v>
      </c>
      <c r="I221" s="60">
        <v>0.0279</v>
      </c>
      <c r="J221" s="93">
        <v>0</v>
      </c>
      <c r="K221" s="93">
        <v>0.0279</v>
      </c>
      <c r="L221" s="60">
        <f>+K221-((K221*0.135*0.125)+(K221*(1-0.135)*0.26))</f>
        <v>0.0211544775</v>
      </c>
      <c r="M221" s="60">
        <f t="shared" si="4"/>
        <v>0.0211544775</v>
      </c>
      <c r="N221" s="67" t="s">
        <v>248</v>
      </c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</row>
    <row r="222" spans="1:199" s="30" customFormat="1" ht="26.25" customHeight="1">
      <c r="A222" s="12"/>
      <c r="B222" s="12" t="s">
        <v>313</v>
      </c>
      <c r="C222" s="64" t="s">
        <v>429</v>
      </c>
      <c r="D222" s="12" t="s">
        <v>411</v>
      </c>
      <c r="E222" s="65">
        <v>43921</v>
      </c>
      <c r="F222" s="66">
        <v>43922</v>
      </c>
      <c r="G222" s="66">
        <v>43927</v>
      </c>
      <c r="H222" s="70">
        <v>0.0225</v>
      </c>
      <c r="I222" s="60">
        <v>0.0093</v>
      </c>
      <c r="J222" s="93">
        <v>0</v>
      </c>
      <c r="K222" s="93">
        <v>0.0093</v>
      </c>
      <c r="L222" s="60">
        <f>+K222-((K222*0.135*0.125)+(K222*(1-0.135)*0.26))</f>
        <v>0.007051492499999999</v>
      </c>
      <c r="M222" s="60">
        <f t="shared" si="4"/>
        <v>0.007051492499999999</v>
      </c>
      <c r="N222" s="67" t="s">
        <v>251</v>
      </c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</row>
    <row r="223" spans="1:199" s="30" customFormat="1" ht="26.25" customHeight="1">
      <c r="A223" s="12"/>
      <c r="B223" s="12" t="s">
        <v>305</v>
      </c>
      <c r="C223" s="64" t="s">
        <v>409</v>
      </c>
      <c r="D223" s="12" t="s">
        <v>410</v>
      </c>
      <c r="E223" s="65">
        <v>43921</v>
      </c>
      <c r="F223" s="66">
        <v>43922</v>
      </c>
      <c r="G223" s="66">
        <v>43927</v>
      </c>
      <c r="H223" s="70">
        <v>0.0225</v>
      </c>
      <c r="I223" s="60">
        <v>0.028</v>
      </c>
      <c r="J223" s="93">
        <v>0</v>
      </c>
      <c r="K223" s="93">
        <v>0.028</v>
      </c>
      <c r="L223" s="60">
        <f>+K223-((K223*0.135*0.125)+(K223*(1-0.135)*0.26))</f>
        <v>0.0212303</v>
      </c>
      <c r="M223" s="60">
        <f t="shared" si="4"/>
        <v>0.0212303</v>
      </c>
      <c r="N223" s="67" t="s">
        <v>248</v>
      </c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</row>
    <row r="224" spans="1:252" s="30" customFormat="1" ht="26.25" customHeight="1">
      <c r="A224" s="12" t="s">
        <v>96</v>
      </c>
      <c r="B224" s="12" t="s">
        <v>147</v>
      </c>
      <c r="C224" s="64" t="s">
        <v>468</v>
      </c>
      <c r="D224" s="12" t="s">
        <v>410</v>
      </c>
      <c r="E224" s="65">
        <v>43921</v>
      </c>
      <c r="F224" s="66">
        <v>43922</v>
      </c>
      <c r="G224" s="66">
        <v>43927</v>
      </c>
      <c r="H224" s="67">
        <v>0.023</v>
      </c>
      <c r="I224" s="60">
        <v>0.0313</v>
      </c>
      <c r="J224" s="93">
        <v>0</v>
      </c>
      <c r="K224" s="93">
        <v>0.0313</v>
      </c>
      <c r="L224" s="60">
        <f>+K224-((K224*0.112*0.125)+(K224*(1-0.112)*0.26))</f>
        <v>0.023635256</v>
      </c>
      <c r="M224" s="60">
        <f t="shared" si="4"/>
        <v>0.023635256</v>
      </c>
      <c r="N224" s="67" t="s">
        <v>248</v>
      </c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</row>
    <row r="225" spans="1:252" s="30" customFormat="1" ht="26.25" customHeight="1">
      <c r="A225" s="12" t="s">
        <v>9</v>
      </c>
      <c r="B225" s="68" t="s">
        <v>164</v>
      </c>
      <c r="C225" s="69" t="s">
        <v>469</v>
      </c>
      <c r="D225" s="12" t="s">
        <v>410</v>
      </c>
      <c r="E225" s="65">
        <v>43921</v>
      </c>
      <c r="F225" s="66">
        <v>43922</v>
      </c>
      <c r="G225" s="66">
        <v>43927</v>
      </c>
      <c r="H225" s="67">
        <v>0.023</v>
      </c>
      <c r="I225" s="60">
        <v>0.0295</v>
      </c>
      <c r="J225" s="93">
        <v>0</v>
      </c>
      <c r="K225" s="93">
        <v>0.0295</v>
      </c>
      <c r="L225" s="60">
        <f>+K225-((K225*0.112*0.125)+(K225*(1-0.112)*0.26))</f>
        <v>0.022276039999999997</v>
      </c>
      <c r="M225" s="60">
        <f t="shared" si="4"/>
        <v>0.022276039999999997</v>
      </c>
      <c r="N225" s="67" t="s">
        <v>248</v>
      </c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</row>
    <row r="226" spans="1:199" ht="26.25" customHeight="1">
      <c r="A226" s="12" t="s">
        <v>107</v>
      </c>
      <c r="B226" s="12" t="s">
        <v>132</v>
      </c>
      <c r="C226" s="64" t="s">
        <v>358</v>
      </c>
      <c r="D226" s="12" t="s">
        <v>410</v>
      </c>
      <c r="E226" s="65">
        <v>43945</v>
      </c>
      <c r="F226" s="66">
        <v>43948</v>
      </c>
      <c r="G226" s="66">
        <v>43951</v>
      </c>
      <c r="H226" s="67">
        <v>0.03</v>
      </c>
      <c r="I226" s="60">
        <v>0.0354</v>
      </c>
      <c r="J226" s="60">
        <v>0</v>
      </c>
      <c r="K226" s="60">
        <v>0.0354</v>
      </c>
      <c r="L226" s="60">
        <f>+K226-((K226*0.268*0.125)+(K226*(1-0.268)*0.26))</f>
        <v>0.027476772</v>
      </c>
      <c r="M226" s="60">
        <f t="shared" si="4"/>
        <v>0.027476772</v>
      </c>
      <c r="N226" s="67" t="s">
        <v>249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</row>
    <row r="227" spans="1:199" ht="26.25" customHeight="1">
      <c r="A227" s="12" t="s">
        <v>121</v>
      </c>
      <c r="B227" s="73" t="s">
        <v>227</v>
      </c>
      <c r="C227" s="74" t="s">
        <v>359</v>
      </c>
      <c r="D227" s="12" t="s">
        <v>410</v>
      </c>
      <c r="E227" s="107">
        <v>43945</v>
      </c>
      <c r="F227" s="107">
        <v>43948</v>
      </c>
      <c r="G227" s="107">
        <v>43951</v>
      </c>
      <c r="H227" s="67">
        <v>0.03</v>
      </c>
      <c r="I227" s="60">
        <v>0.0352</v>
      </c>
      <c r="J227" s="60">
        <v>0</v>
      </c>
      <c r="K227" s="60">
        <v>0.0352</v>
      </c>
      <c r="L227" s="60">
        <f>+K227-((K227*0.268*0.125)+(K227*(1-0.268)*0.26))</f>
        <v>0.027321536</v>
      </c>
      <c r="M227" s="60">
        <f t="shared" si="4"/>
        <v>0.027321536</v>
      </c>
      <c r="N227" s="73" t="s">
        <v>249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</row>
    <row r="228" spans="1:199" ht="26.25" customHeight="1">
      <c r="A228" s="12" t="s">
        <v>108</v>
      </c>
      <c r="B228" s="12" t="s">
        <v>133</v>
      </c>
      <c r="C228" s="64" t="s">
        <v>476</v>
      </c>
      <c r="D228" s="12" t="s">
        <v>410</v>
      </c>
      <c r="E228" s="65">
        <v>43945</v>
      </c>
      <c r="F228" s="66">
        <v>43948</v>
      </c>
      <c r="G228" s="66">
        <v>43951</v>
      </c>
      <c r="H228" s="67">
        <v>0.04</v>
      </c>
      <c r="I228" s="60">
        <v>0.0431</v>
      </c>
      <c r="J228" s="60">
        <v>0</v>
      </c>
      <c r="K228" s="60">
        <v>0.0431</v>
      </c>
      <c r="L228" s="60">
        <f>+K228-((K228*0.000000001*0.125)+(K228*(1-0.000000001)*0.26))</f>
        <v>0.0318940000058185</v>
      </c>
      <c r="M228" s="60">
        <f t="shared" si="4"/>
        <v>0.0318940000058185</v>
      </c>
      <c r="N228" s="67" t="s">
        <v>249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</row>
    <row r="229" spans="1:199" ht="26.25" customHeight="1">
      <c r="A229" s="12" t="s">
        <v>109</v>
      </c>
      <c r="B229" s="12" t="s">
        <v>134</v>
      </c>
      <c r="C229" s="64" t="s">
        <v>374</v>
      </c>
      <c r="D229" s="12" t="s">
        <v>410</v>
      </c>
      <c r="E229" s="65">
        <v>43945</v>
      </c>
      <c r="F229" s="66">
        <v>43948</v>
      </c>
      <c r="G229" s="66">
        <v>43951</v>
      </c>
      <c r="H229" s="67">
        <v>0.0425</v>
      </c>
      <c r="I229" s="60">
        <v>0.0546</v>
      </c>
      <c r="J229" s="60">
        <v>0</v>
      </c>
      <c r="K229" s="60">
        <v>0.0546</v>
      </c>
      <c r="L229" s="60">
        <f>+K229-((K229*0.242*0.125)+(K229*(1-0.242)*0.26))</f>
        <v>0.04218778200000001</v>
      </c>
      <c r="M229" s="60">
        <f t="shared" si="4"/>
        <v>0.04218778200000001</v>
      </c>
      <c r="N229" s="67" t="s">
        <v>249</v>
      </c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</row>
    <row r="230" spans="1:199" ht="26.25" customHeight="1">
      <c r="A230" s="12" t="s">
        <v>37</v>
      </c>
      <c r="B230" s="73" t="s">
        <v>168</v>
      </c>
      <c r="C230" s="74" t="s">
        <v>376</v>
      </c>
      <c r="D230" s="12" t="s">
        <v>410</v>
      </c>
      <c r="E230" s="107">
        <v>43945</v>
      </c>
      <c r="F230" s="107">
        <v>43948</v>
      </c>
      <c r="G230" s="107">
        <v>43951</v>
      </c>
      <c r="H230" s="67">
        <v>0.0425</v>
      </c>
      <c r="I230" s="60">
        <v>0.0473</v>
      </c>
      <c r="J230" s="60">
        <v>0</v>
      </c>
      <c r="K230" s="60">
        <v>0.0473</v>
      </c>
      <c r="L230" s="60">
        <f>+K230-((K230*0.242*0.125)+(K230*(1-0.242)*0.26))</f>
        <v>0.036547291</v>
      </c>
      <c r="M230" s="60">
        <f t="shared" si="4"/>
        <v>0.036547291</v>
      </c>
      <c r="N230" s="73" t="s">
        <v>249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</row>
    <row r="231" spans="1:199" ht="26.25" customHeight="1">
      <c r="A231" s="12" t="s">
        <v>111</v>
      </c>
      <c r="B231" s="12" t="s">
        <v>136</v>
      </c>
      <c r="C231" s="64" t="s">
        <v>388</v>
      </c>
      <c r="D231" s="12" t="s">
        <v>410</v>
      </c>
      <c r="E231" s="65">
        <v>43945</v>
      </c>
      <c r="F231" s="66">
        <v>43948</v>
      </c>
      <c r="G231" s="66">
        <v>43951</v>
      </c>
      <c r="H231" s="67">
        <v>0.02</v>
      </c>
      <c r="I231" s="60">
        <v>0.0239</v>
      </c>
      <c r="J231" s="60">
        <v>0</v>
      </c>
      <c r="K231" s="60">
        <v>0.0239</v>
      </c>
      <c r="L231" s="60">
        <f aca="true" t="shared" si="5" ref="L231:L236">+K231-((K231*0.171*0.125)+(K231*(1-0.171)*0.26))</f>
        <v>0.0182377315</v>
      </c>
      <c r="M231" s="60">
        <f t="shared" si="4"/>
        <v>0.0182377315</v>
      </c>
      <c r="N231" s="67" t="s">
        <v>249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</row>
    <row r="232" spans="1:199" ht="26.25" customHeight="1">
      <c r="A232" s="12" t="s">
        <v>112</v>
      </c>
      <c r="B232" s="12" t="s">
        <v>137</v>
      </c>
      <c r="C232" s="64" t="s">
        <v>389</v>
      </c>
      <c r="D232" s="12" t="s">
        <v>410</v>
      </c>
      <c r="E232" s="65">
        <v>43945</v>
      </c>
      <c r="F232" s="66">
        <v>43948</v>
      </c>
      <c r="G232" s="66">
        <v>43951</v>
      </c>
      <c r="H232" s="67">
        <v>0.035</v>
      </c>
      <c r="I232" s="60">
        <v>0.0441</v>
      </c>
      <c r="J232" s="60">
        <v>0</v>
      </c>
      <c r="K232" s="60">
        <v>0.0441</v>
      </c>
      <c r="L232" s="60">
        <f t="shared" si="5"/>
        <v>0.033652048500000004</v>
      </c>
      <c r="M232" s="60">
        <f t="shared" si="4"/>
        <v>0.033652048500000004</v>
      </c>
      <c r="N232" s="67" t="s">
        <v>249</v>
      </c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</row>
    <row r="233" spans="1:14" ht="26.25" customHeight="1">
      <c r="A233" s="12" t="s">
        <v>110</v>
      </c>
      <c r="B233" s="12" t="s">
        <v>135</v>
      </c>
      <c r="C233" s="64" t="s">
        <v>390</v>
      </c>
      <c r="D233" s="12" t="s">
        <v>410</v>
      </c>
      <c r="E233" s="65">
        <v>43945</v>
      </c>
      <c r="F233" s="66">
        <v>43948</v>
      </c>
      <c r="G233" s="66">
        <v>43951</v>
      </c>
      <c r="H233" s="67">
        <v>0.045</v>
      </c>
      <c r="I233" s="60">
        <v>0.057</v>
      </c>
      <c r="J233" s="60">
        <v>0</v>
      </c>
      <c r="K233" s="60">
        <v>0.057</v>
      </c>
      <c r="L233" s="60">
        <f t="shared" si="5"/>
        <v>0.043495845000000005</v>
      </c>
      <c r="M233" s="60">
        <f t="shared" si="4"/>
        <v>0.043495845000000005</v>
      </c>
      <c r="N233" s="67" t="s">
        <v>249</v>
      </c>
    </row>
    <row r="234" spans="1:14" ht="26.25" customHeight="1">
      <c r="A234" s="12" t="s">
        <v>113</v>
      </c>
      <c r="B234" s="73" t="s">
        <v>170</v>
      </c>
      <c r="C234" s="74" t="s">
        <v>391</v>
      </c>
      <c r="D234" s="12" t="s">
        <v>410</v>
      </c>
      <c r="E234" s="107">
        <v>43945</v>
      </c>
      <c r="F234" s="107">
        <v>43948</v>
      </c>
      <c r="G234" s="107">
        <v>43951</v>
      </c>
      <c r="H234" s="67">
        <v>0.02</v>
      </c>
      <c r="I234" s="60">
        <v>0.0238</v>
      </c>
      <c r="J234" s="60">
        <v>0</v>
      </c>
      <c r="K234" s="60">
        <v>0.0238</v>
      </c>
      <c r="L234" s="60">
        <f t="shared" si="5"/>
        <v>0.018161423000000003</v>
      </c>
      <c r="M234" s="60">
        <f t="shared" si="4"/>
        <v>0.018161423000000003</v>
      </c>
      <c r="N234" s="73" t="s">
        <v>249</v>
      </c>
    </row>
    <row r="235" spans="1:14" ht="26.25" customHeight="1">
      <c r="A235" s="12" t="s">
        <v>114</v>
      </c>
      <c r="B235" s="73" t="s">
        <v>171</v>
      </c>
      <c r="C235" s="74" t="s">
        <v>392</v>
      </c>
      <c r="D235" s="12" t="s">
        <v>410</v>
      </c>
      <c r="E235" s="107">
        <v>43945</v>
      </c>
      <c r="F235" s="107">
        <v>43948</v>
      </c>
      <c r="G235" s="107">
        <v>43951</v>
      </c>
      <c r="H235" s="67">
        <v>0.035</v>
      </c>
      <c r="I235" s="60">
        <v>0.0437</v>
      </c>
      <c r="J235" s="60">
        <v>0</v>
      </c>
      <c r="K235" s="60">
        <v>0.0437</v>
      </c>
      <c r="L235" s="60">
        <f t="shared" si="5"/>
        <v>0.0333468145</v>
      </c>
      <c r="M235" s="60">
        <f t="shared" si="4"/>
        <v>0.0333468145</v>
      </c>
      <c r="N235" s="73" t="s">
        <v>249</v>
      </c>
    </row>
    <row r="236" spans="1:199" s="6" customFormat="1" ht="23.25" customHeight="1">
      <c r="A236" s="12" t="s">
        <v>120</v>
      </c>
      <c r="B236" s="73" t="s">
        <v>172</v>
      </c>
      <c r="C236" s="74" t="s">
        <v>393</v>
      </c>
      <c r="D236" s="12" t="s">
        <v>410</v>
      </c>
      <c r="E236" s="107">
        <v>43945</v>
      </c>
      <c r="F236" s="107">
        <v>43948</v>
      </c>
      <c r="G236" s="107">
        <v>43951</v>
      </c>
      <c r="H236" s="67">
        <v>0.045</v>
      </c>
      <c r="I236" s="60">
        <v>0.0566</v>
      </c>
      <c r="J236" s="60">
        <v>0</v>
      </c>
      <c r="K236" s="60">
        <v>0.0566</v>
      </c>
      <c r="L236" s="60">
        <f t="shared" si="5"/>
        <v>0.043190611</v>
      </c>
      <c r="M236" s="60">
        <f t="shared" si="4"/>
        <v>0.043190611</v>
      </c>
      <c r="N236" s="73" t="s">
        <v>249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10"/>
      <c r="GQ236" s="10"/>
    </row>
    <row r="237" spans="1:199" s="6" customFormat="1" ht="23.25" customHeight="1">
      <c r="A237" s="12" t="s">
        <v>38</v>
      </c>
      <c r="B237" s="73" t="s">
        <v>169</v>
      </c>
      <c r="C237" s="74" t="s">
        <v>400</v>
      </c>
      <c r="D237" s="12" t="s">
        <v>410</v>
      </c>
      <c r="E237" s="107">
        <v>43945</v>
      </c>
      <c r="F237" s="107">
        <v>43948</v>
      </c>
      <c r="G237" s="107">
        <v>43951</v>
      </c>
      <c r="H237" s="67">
        <v>0.055</v>
      </c>
      <c r="I237" s="60">
        <v>0.0617</v>
      </c>
      <c r="J237" s="60">
        <v>0</v>
      </c>
      <c r="K237" s="60">
        <v>0.0617</v>
      </c>
      <c r="L237" s="60">
        <f>+K237-((K237*0.159*0.125)+(K237*(1-0.159)*0.26))</f>
        <v>0.0469823905</v>
      </c>
      <c r="M237" s="60">
        <f t="shared" si="4"/>
        <v>0.0469823905</v>
      </c>
      <c r="N237" s="73" t="s">
        <v>249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</row>
    <row r="238" spans="1:14" s="6" customFormat="1" ht="23.25" customHeight="1">
      <c r="A238" s="1"/>
      <c r="B238" s="111" t="s">
        <v>514</v>
      </c>
      <c r="C238" s="79" t="s">
        <v>515</v>
      </c>
      <c r="D238" s="1" t="s">
        <v>411</v>
      </c>
      <c r="E238" s="83">
        <v>43951</v>
      </c>
      <c r="F238" s="80">
        <v>43955</v>
      </c>
      <c r="G238" s="80">
        <v>43958</v>
      </c>
      <c r="H238" s="128">
        <v>0.03</v>
      </c>
      <c r="I238" s="76">
        <v>0.1916</v>
      </c>
      <c r="J238" s="88">
        <v>0</v>
      </c>
      <c r="K238" s="88">
        <v>0.1916</v>
      </c>
      <c r="L238" s="76">
        <f>+K238-((K238*0.135*0.125)+(K238*(1-0.135)*0.26))</f>
        <v>0.14527591</v>
      </c>
      <c r="M238" s="76">
        <f t="shared" si="4"/>
        <v>0.14527591</v>
      </c>
      <c r="N238" s="77" t="s">
        <v>251</v>
      </c>
    </row>
    <row r="239" spans="1:252" s="6" customFormat="1" ht="23.25" customHeight="1">
      <c r="A239" s="1"/>
      <c r="B239" s="1" t="s">
        <v>310</v>
      </c>
      <c r="C239" s="79" t="s">
        <v>424</v>
      </c>
      <c r="D239" s="1" t="s">
        <v>411</v>
      </c>
      <c r="E239" s="83">
        <v>43951</v>
      </c>
      <c r="F239" s="80">
        <v>43955</v>
      </c>
      <c r="G239" s="80">
        <v>43958</v>
      </c>
      <c r="H239" s="70">
        <v>0.05</v>
      </c>
      <c r="I239" s="76">
        <v>0.0209</v>
      </c>
      <c r="J239" s="88">
        <v>0</v>
      </c>
      <c r="K239" s="88">
        <v>0.0209</v>
      </c>
      <c r="L239" s="76">
        <f>+K239-((K239*0.04*0.125)+(K239*(1-0.04)*0.26))</f>
        <v>0.015578859999999998</v>
      </c>
      <c r="M239" s="76">
        <f t="shared" si="4"/>
        <v>0.015578859999999998</v>
      </c>
      <c r="N239" s="77" t="s">
        <v>251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IR239" s="42"/>
    </row>
    <row r="240" spans="1:252" s="6" customFormat="1" ht="23.25" customHeight="1">
      <c r="A240" s="1" t="s">
        <v>188</v>
      </c>
      <c r="B240" s="82" t="s">
        <v>188</v>
      </c>
      <c r="C240" s="108" t="s">
        <v>339</v>
      </c>
      <c r="D240" s="1" t="s">
        <v>411</v>
      </c>
      <c r="E240" s="83">
        <v>43951</v>
      </c>
      <c r="F240" s="80">
        <v>43955</v>
      </c>
      <c r="G240" s="80">
        <v>43958</v>
      </c>
      <c r="H240" s="70">
        <v>0.05</v>
      </c>
      <c r="I240" s="76">
        <v>0.3655</v>
      </c>
      <c r="J240" s="88">
        <v>0</v>
      </c>
      <c r="K240" s="88">
        <v>0.3655</v>
      </c>
      <c r="L240" s="76">
        <f>+K240-((K240*0.04*0.125)+(K240*(1-0.04)*0.26))</f>
        <v>0.2724437</v>
      </c>
      <c r="M240" s="76">
        <f t="shared" si="4"/>
        <v>0.2724437</v>
      </c>
      <c r="N240" s="77" t="s">
        <v>251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IR240" s="42"/>
    </row>
    <row r="241" spans="1:252" s="6" customFormat="1" ht="23.25" customHeight="1">
      <c r="A241" s="1" t="s">
        <v>196</v>
      </c>
      <c r="B241" s="109" t="s">
        <v>196</v>
      </c>
      <c r="C241" s="110" t="s">
        <v>340</v>
      </c>
      <c r="D241" s="109" t="s">
        <v>411</v>
      </c>
      <c r="E241" s="83">
        <v>43951</v>
      </c>
      <c r="F241" s="80">
        <v>43955</v>
      </c>
      <c r="G241" s="80">
        <v>43958</v>
      </c>
      <c r="H241" s="70">
        <v>0.05</v>
      </c>
      <c r="I241" s="76">
        <v>0.3778</v>
      </c>
      <c r="J241" s="88">
        <v>0</v>
      </c>
      <c r="K241" s="88">
        <v>0.3778</v>
      </c>
      <c r="L241" s="76">
        <f>+K241-((K241*0.04*0.125)+(K241*(1-0.04)*0.26))</f>
        <v>0.28161212</v>
      </c>
      <c r="M241" s="76">
        <f t="shared" si="4"/>
        <v>0.28161212</v>
      </c>
      <c r="N241" s="77" t="s">
        <v>251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IR241" s="42"/>
    </row>
    <row r="242" spans="1:199" s="6" customFormat="1" ht="23.25" customHeight="1">
      <c r="A242" s="1" t="s">
        <v>229</v>
      </c>
      <c r="B242" s="82" t="s">
        <v>191</v>
      </c>
      <c r="C242" s="108" t="s">
        <v>346</v>
      </c>
      <c r="D242" s="1" t="s">
        <v>411</v>
      </c>
      <c r="E242" s="83">
        <v>43951</v>
      </c>
      <c r="F242" s="80">
        <v>43955</v>
      </c>
      <c r="G242" s="80">
        <v>43958</v>
      </c>
      <c r="H242" s="67">
        <v>0.035</v>
      </c>
      <c r="I242" s="76">
        <v>0.0147</v>
      </c>
      <c r="J242" s="88">
        <v>0</v>
      </c>
      <c r="K242" s="88">
        <v>0.0147</v>
      </c>
      <c r="L242" s="76">
        <f>+K242-((K242*0.837*0.125)+(K242*(1-0.837)*0.26))</f>
        <v>0.0125390265</v>
      </c>
      <c r="M242" s="76">
        <f t="shared" si="4"/>
        <v>0.0125390265</v>
      </c>
      <c r="N242" s="77" t="s">
        <v>251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10"/>
      <c r="GQ242" s="10"/>
    </row>
    <row r="243" spans="1:199" s="6" customFormat="1" ht="23.25" customHeight="1">
      <c r="A243" s="1" t="s">
        <v>231</v>
      </c>
      <c r="B243" s="109" t="s">
        <v>199</v>
      </c>
      <c r="C243" s="110" t="s">
        <v>347</v>
      </c>
      <c r="D243" s="109" t="s">
        <v>411</v>
      </c>
      <c r="E243" s="83">
        <v>43951</v>
      </c>
      <c r="F243" s="80">
        <v>43955</v>
      </c>
      <c r="G243" s="80">
        <v>43958</v>
      </c>
      <c r="H243" s="67">
        <v>0.035</v>
      </c>
      <c r="I243" s="76">
        <v>0.0147</v>
      </c>
      <c r="J243" s="88">
        <v>0</v>
      </c>
      <c r="K243" s="88">
        <v>0.0147</v>
      </c>
      <c r="L243" s="76">
        <f>+K243-((K243*0.837*0.125)+(K243*(1-0.837)*0.26))</f>
        <v>0.0125390265</v>
      </c>
      <c r="M243" s="76">
        <f t="shared" si="4"/>
        <v>0.0125390265</v>
      </c>
      <c r="N243" s="77" t="s">
        <v>251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</row>
    <row r="244" spans="1:199" s="6" customFormat="1" ht="23.25" customHeight="1">
      <c r="A244" s="1"/>
      <c r="B244" s="1" t="s">
        <v>306</v>
      </c>
      <c r="C244" s="79" t="s">
        <v>430</v>
      </c>
      <c r="D244" s="1" t="s">
        <v>411</v>
      </c>
      <c r="E244" s="83">
        <v>43951</v>
      </c>
      <c r="F244" s="80">
        <v>43955</v>
      </c>
      <c r="G244" s="80">
        <v>43958</v>
      </c>
      <c r="H244" s="67">
        <v>0.02</v>
      </c>
      <c r="I244" s="76">
        <v>0.0084</v>
      </c>
      <c r="J244" s="88">
        <v>0</v>
      </c>
      <c r="K244" s="88">
        <v>0.0084</v>
      </c>
      <c r="L244" s="76">
        <f>+K244-((K244*0.0000001*0.125)+(K244*(1-0.0000001)*0.26))</f>
        <v>0.0062160001134</v>
      </c>
      <c r="M244" s="76">
        <f t="shared" si="4"/>
        <v>0.0062160001134</v>
      </c>
      <c r="N244" s="77" t="s">
        <v>251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</row>
    <row r="245" spans="1:199" s="6" customFormat="1" ht="23.25" customHeight="1">
      <c r="A245" s="1" t="s">
        <v>184</v>
      </c>
      <c r="B245" s="82" t="s">
        <v>184</v>
      </c>
      <c r="C245" s="108" t="s">
        <v>354</v>
      </c>
      <c r="D245" s="1" t="s">
        <v>411</v>
      </c>
      <c r="E245" s="83">
        <v>43951</v>
      </c>
      <c r="F245" s="80">
        <v>43955</v>
      </c>
      <c r="G245" s="80">
        <v>43958</v>
      </c>
      <c r="H245" s="67">
        <v>0.02</v>
      </c>
      <c r="I245" s="76">
        <v>0.1688</v>
      </c>
      <c r="J245" s="88">
        <v>0</v>
      </c>
      <c r="K245" s="88">
        <v>0.1688</v>
      </c>
      <c r="L245" s="76">
        <f>+K245-((K245*0.0000001*0.125)+(K245*(1-0.0000001)*0.26))</f>
        <v>0.1249120022788</v>
      </c>
      <c r="M245" s="76">
        <f t="shared" si="4"/>
        <v>0.1249120022788</v>
      </c>
      <c r="N245" s="77" t="s">
        <v>251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</row>
    <row r="246" spans="1:199" s="6" customFormat="1" ht="23.25" customHeight="1">
      <c r="A246" s="1" t="s">
        <v>192</v>
      </c>
      <c r="B246" s="109" t="s">
        <v>192</v>
      </c>
      <c r="C246" s="110" t="s">
        <v>355</v>
      </c>
      <c r="D246" s="109" t="s">
        <v>411</v>
      </c>
      <c r="E246" s="83">
        <v>43951</v>
      </c>
      <c r="F246" s="80">
        <v>43955</v>
      </c>
      <c r="G246" s="80">
        <v>43958</v>
      </c>
      <c r="H246" s="67">
        <v>0.02</v>
      </c>
      <c r="I246" s="76">
        <v>0.1698</v>
      </c>
      <c r="J246" s="88">
        <v>0</v>
      </c>
      <c r="K246" s="88">
        <v>0.1698</v>
      </c>
      <c r="L246" s="76">
        <f>+K246-((K246*0.0000001*0.125)+(K246*(1-0.0000001)*0.26))</f>
        <v>0.1256520022923</v>
      </c>
      <c r="M246" s="76">
        <f t="shared" si="4"/>
        <v>0.1256520022923</v>
      </c>
      <c r="N246" s="77" t="s">
        <v>251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</row>
    <row r="247" spans="1:14" s="6" customFormat="1" ht="23.25" customHeight="1">
      <c r="A247" s="1"/>
      <c r="B247" s="1" t="s">
        <v>311</v>
      </c>
      <c r="C247" s="79" t="s">
        <v>425</v>
      </c>
      <c r="D247" s="1" t="s">
        <v>411</v>
      </c>
      <c r="E247" s="83">
        <v>43951</v>
      </c>
      <c r="F247" s="80">
        <v>43955</v>
      </c>
      <c r="G247" s="80">
        <v>43958</v>
      </c>
      <c r="H247" s="67">
        <v>0.01</v>
      </c>
      <c r="I247" s="76">
        <v>0.0042</v>
      </c>
      <c r="J247" s="88">
        <v>0</v>
      </c>
      <c r="K247" s="88">
        <v>0.0042</v>
      </c>
      <c r="L247" s="76">
        <f>+K247-((K247*0.0000000001*0.125)+(K247*(1-0.000000001)*0.26))</f>
        <v>0.0031080000010394997</v>
      </c>
      <c r="M247" s="76">
        <f t="shared" si="4"/>
        <v>0.0031080000010394997</v>
      </c>
      <c r="N247" s="77" t="s">
        <v>251</v>
      </c>
    </row>
    <row r="248" spans="1:199" s="6" customFormat="1" ht="23.25" customHeight="1">
      <c r="A248" s="1" t="s">
        <v>189</v>
      </c>
      <c r="B248" s="82" t="s">
        <v>189</v>
      </c>
      <c r="C248" s="108" t="s">
        <v>356</v>
      </c>
      <c r="D248" s="1" t="s">
        <v>411</v>
      </c>
      <c r="E248" s="83">
        <v>43951</v>
      </c>
      <c r="F248" s="80">
        <v>43955</v>
      </c>
      <c r="G248" s="80">
        <v>43958</v>
      </c>
      <c r="H248" s="67">
        <v>0.01</v>
      </c>
      <c r="I248" s="76">
        <v>0.0763</v>
      </c>
      <c r="J248" s="88">
        <v>0</v>
      </c>
      <c r="K248" s="88">
        <v>0.0763</v>
      </c>
      <c r="L248" s="76">
        <f>+K248-((K248*0.0000000001*0.125)+(K248*(1-0.000000001)*0.26))</f>
        <v>0.056462000018884254</v>
      </c>
      <c r="M248" s="76">
        <f t="shared" si="4"/>
        <v>0.056462000018884254</v>
      </c>
      <c r="N248" s="77" t="s">
        <v>251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</row>
    <row r="249" spans="1:199" s="6" customFormat="1" ht="23.25" customHeight="1">
      <c r="A249" s="1" t="s">
        <v>197</v>
      </c>
      <c r="B249" s="109" t="s">
        <v>197</v>
      </c>
      <c r="C249" s="110" t="s">
        <v>357</v>
      </c>
      <c r="D249" s="109" t="s">
        <v>411</v>
      </c>
      <c r="E249" s="83">
        <v>43951</v>
      </c>
      <c r="F249" s="80">
        <v>43955</v>
      </c>
      <c r="G249" s="80">
        <v>43958</v>
      </c>
      <c r="H249" s="67">
        <v>0.01</v>
      </c>
      <c r="I249" s="76">
        <v>0.0774</v>
      </c>
      <c r="J249" s="88">
        <v>0</v>
      </c>
      <c r="K249" s="88">
        <v>0.0774</v>
      </c>
      <c r="L249" s="76">
        <f>+K249-((K249*0.0000000001*0.125)+(K249*(1-0.000000001)*0.26))</f>
        <v>0.057276000019156496</v>
      </c>
      <c r="M249" s="76">
        <f t="shared" si="4"/>
        <v>0.057276000019156496</v>
      </c>
      <c r="N249" s="77" t="s">
        <v>251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</row>
    <row r="250" spans="1:14" s="6" customFormat="1" ht="23.25" customHeight="1">
      <c r="A250" s="1"/>
      <c r="B250" s="1" t="s">
        <v>308</v>
      </c>
      <c r="C250" s="79" t="s">
        <v>426</v>
      </c>
      <c r="D250" s="1" t="s">
        <v>411</v>
      </c>
      <c r="E250" s="83">
        <v>43951</v>
      </c>
      <c r="F250" s="80">
        <v>43955</v>
      </c>
      <c r="G250" s="80">
        <v>43958</v>
      </c>
      <c r="H250" s="67">
        <v>0.015</v>
      </c>
      <c r="I250" s="76">
        <v>0.0062</v>
      </c>
      <c r="J250" s="88">
        <v>0</v>
      </c>
      <c r="K250" s="88">
        <v>0.0062</v>
      </c>
      <c r="L250" s="76">
        <f>+K250-((K250*0.478*0.125)+(K250*(1-0.478)*0.26))</f>
        <v>0.004988086</v>
      </c>
      <c r="M250" s="76">
        <f t="shared" si="4"/>
        <v>0.004988086</v>
      </c>
      <c r="N250" s="77" t="s">
        <v>251</v>
      </c>
    </row>
    <row r="251" spans="1:14" s="6" customFormat="1" ht="23.25" customHeight="1">
      <c r="A251" s="1" t="s">
        <v>186</v>
      </c>
      <c r="B251" s="82" t="s">
        <v>186</v>
      </c>
      <c r="C251" s="108" t="s">
        <v>363</v>
      </c>
      <c r="D251" s="1" t="s">
        <v>411</v>
      </c>
      <c r="E251" s="83">
        <v>43951</v>
      </c>
      <c r="F251" s="80">
        <v>43955</v>
      </c>
      <c r="G251" s="80">
        <v>43958</v>
      </c>
      <c r="H251" s="67">
        <v>0.015</v>
      </c>
      <c r="I251" s="76">
        <v>0.114</v>
      </c>
      <c r="J251" s="88">
        <v>0</v>
      </c>
      <c r="K251" s="88">
        <v>0.114</v>
      </c>
      <c r="L251" s="76">
        <f>+K251-((K251*0.478*0.125)+(K251*(1-0.478)*0.26))</f>
        <v>0.09171641999999999</v>
      </c>
      <c r="M251" s="76">
        <f t="shared" si="4"/>
        <v>0.09171641999999999</v>
      </c>
      <c r="N251" s="77" t="s">
        <v>251</v>
      </c>
    </row>
    <row r="252" spans="1:14" s="6" customFormat="1" ht="23.25" customHeight="1">
      <c r="A252" s="1" t="s">
        <v>194</v>
      </c>
      <c r="B252" s="109" t="s">
        <v>194</v>
      </c>
      <c r="C252" s="110" t="s">
        <v>364</v>
      </c>
      <c r="D252" s="109" t="s">
        <v>411</v>
      </c>
      <c r="E252" s="83">
        <v>43951</v>
      </c>
      <c r="F252" s="80">
        <v>43955</v>
      </c>
      <c r="G252" s="80">
        <v>43958</v>
      </c>
      <c r="H252" s="67">
        <v>0.015</v>
      </c>
      <c r="I252" s="76">
        <v>0.1168</v>
      </c>
      <c r="J252" s="88">
        <v>0</v>
      </c>
      <c r="K252" s="88">
        <v>0.1168</v>
      </c>
      <c r="L252" s="76">
        <f>+K252-((K252*0.478*0.125)+(K252*(1-0.478)*0.26))</f>
        <v>0.093969104</v>
      </c>
      <c r="M252" s="76">
        <f t="shared" si="4"/>
        <v>0.093969104</v>
      </c>
      <c r="N252" s="77" t="s">
        <v>251</v>
      </c>
    </row>
    <row r="253" spans="1:199" s="6" customFormat="1" ht="23.25" customHeight="1">
      <c r="A253" s="1"/>
      <c r="B253" s="1" t="s">
        <v>307</v>
      </c>
      <c r="C253" s="79" t="s">
        <v>420</v>
      </c>
      <c r="D253" s="1" t="s">
        <v>411</v>
      </c>
      <c r="E253" s="83">
        <v>43951</v>
      </c>
      <c r="F253" s="80">
        <v>43955</v>
      </c>
      <c r="G253" s="80">
        <v>43958</v>
      </c>
      <c r="H253" s="67">
        <v>0.015</v>
      </c>
      <c r="I253" s="76">
        <v>0.0062</v>
      </c>
      <c r="J253" s="88">
        <v>0</v>
      </c>
      <c r="K253" s="88">
        <v>0.0062</v>
      </c>
      <c r="L253" s="76">
        <f>+K253-((K253*0.588*0.125)+(K253*(1-0.588)*0.26))</f>
        <v>0.005080156</v>
      </c>
      <c r="M253" s="76">
        <f t="shared" si="4"/>
        <v>0.005080156</v>
      </c>
      <c r="N253" s="77" t="s">
        <v>251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</row>
    <row r="254" spans="1:199" s="6" customFormat="1" ht="23.25" customHeight="1">
      <c r="A254" s="1" t="s">
        <v>185</v>
      </c>
      <c r="B254" s="82" t="s">
        <v>185</v>
      </c>
      <c r="C254" s="108" t="s">
        <v>366</v>
      </c>
      <c r="D254" s="1" t="s">
        <v>411</v>
      </c>
      <c r="E254" s="83">
        <v>43951</v>
      </c>
      <c r="F254" s="80">
        <v>43955</v>
      </c>
      <c r="G254" s="80">
        <v>43958</v>
      </c>
      <c r="H254" s="67">
        <v>0.015</v>
      </c>
      <c r="I254" s="76">
        <v>0.1039</v>
      </c>
      <c r="J254" s="88">
        <v>0</v>
      </c>
      <c r="K254" s="88">
        <v>0.1039</v>
      </c>
      <c r="L254" s="76">
        <f>+K254-((K254*0.588*0.125)+(K254*(1-0.588)*0.26))</f>
        <v>0.08513358200000001</v>
      </c>
      <c r="M254" s="76">
        <f t="shared" si="4"/>
        <v>0.08513358200000001</v>
      </c>
      <c r="N254" s="77" t="s">
        <v>251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</row>
    <row r="255" spans="1:199" s="6" customFormat="1" ht="23.25" customHeight="1">
      <c r="A255" s="1" t="s">
        <v>193</v>
      </c>
      <c r="B255" s="109" t="s">
        <v>193</v>
      </c>
      <c r="C255" s="110" t="s">
        <v>367</v>
      </c>
      <c r="D255" s="109" t="s">
        <v>411</v>
      </c>
      <c r="E255" s="83">
        <v>43951</v>
      </c>
      <c r="F255" s="80">
        <v>43955</v>
      </c>
      <c r="G255" s="80">
        <v>43958</v>
      </c>
      <c r="H255" s="67">
        <v>0.015</v>
      </c>
      <c r="I255" s="76">
        <v>0.1009</v>
      </c>
      <c r="J255" s="88">
        <v>0</v>
      </c>
      <c r="K255" s="88">
        <v>0.1009</v>
      </c>
      <c r="L255" s="76">
        <f>+K255-((K255*0.588*0.125)+(K255*(1-0.588)*0.26))</f>
        <v>0.082675442</v>
      </c>
      <c r="M255" s="76">
        <f t="shared" si="4"/>
        <v>0.082675442</v>
      </c>
      <c r="N255" s="77" t="s">
        <v>251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</row>
    <row r="256" spans="1:199" s="6" customFormat="1" ht="23.25" customHeight="1">
      <c r="A256" s="1"/>
      <c r="B256" s="1" t="s">
        <v>309</v>
      </c>
      <c r="C256" s="79" t="s">
        <v>427</v>
      </c>
      <c r="D256" s="1" t="s">
        <v>411</v>
      </c>
      <c r="E256" s="83">
        <v>43951</v>
      </c>
      <c r="F256" s="80">
        <v>43955</v>
      </c>
      <c r="G256" s="80">
        <v>43958</v>
      </c>
      <c r="H256" s="67">
        <v>0.035</v>
      </c>
      <c r="I256" s="76">
        <v>0.0145</v>
      </c>
      <c r="J256" s="88">
        <v>0</v>
      </c>
      <c r="K256" s="88">
        <v>0.0145</v>
      </c>
      <c r="L256" s="76">
        <f>+K256-((K256*0.001*0.125)+(K256*(1-0.001)*0.26))</f>
        <v>0.0107319575</v>
      </c>
      <c r="M256" s="76">
        <f t="shared" si="4"/>
        <v>0.0107319575</v>
      </c>
      <c r="N256" s="77" t="s">
        <v>251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</row>
    <row r="257" spans="1:199" s="6" customFormat="1" ht="23.25" customHeight="1">
      <c r="A257" s="1" t="s">
        <v>187</v>
      </c>
      <c r="B257" s="82" t="s">
        <v>187</v>
      </c>
      <c r="C257" s="108" t="s">
        <v>368</v>
      </c>
      <c r="D257" s="1" t="s">
        <v>411</v>
      </c>
      <c r="E257" s="83">
        <v>43951</v>
      </c>
      <c r="F257" s="80">
        <v>43955</v>
      </c>
      <c r="G257" s="80">
        <v>43958</v>
      </c>
      <c r="H257" s="67">
        <v>0.035</v>
      </c>
      <c r="I257" s="76">
        <v>0.2568</v>
      </c>
      <c r="J257" s="88">
        <v>0</v>
      </c>
      <c r="K257" s="88">
        <v>0.2568</v>
      </c>
      <c r="L257" s="76">
        <f>+K257-((K257*0.001*0.125)+(K257*(1-0.001)*0.26))</f>
        <v>0.190066668</v>
      </c>
      <c r="M257" s="76">
        <f t="shared" si="4"/>
        <v>0.190066668</v>
      </c>
      <c r="N257" s="77" t="s">
        <v>251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</row>
    <row r="258" spans="1:199" s="6" customFormat="1" ht="23.25" customHeight="1">
      <c r="A258" s="1" t="s">
        <v>195</v>
      </c>
      <c r="B258" s="109" t="s">
        <v>195</v>
      </c>
      <c r="C258" s="110" t="s">
        <v>369</v>
      </c>
      <c r="D258" s="109" t="s">
        <v>411</v>
      </c>
      <c r="E258" s="83">
        <v>43951</v>
      </c>
      <c r="F258" s="80">
        <v>43955</v>
      </c>
      <c r="G258" s="80">
        <v>43958</v>
      </c>
      <c r="H258" s="67">
        <v>0.035</v>
      </c>
      <c r="I258" s="76">
        <v>0.264</v>
      </c>
      <c r="J258" s="88">
        <v>0</v>
      </c>
      <c r="K258" s="88">
        <v>0.264</v>
      </c>
      <c r="L258" s="76">
        <f>+K258-((K258*0.001*0.125)+(K258*(1-0.001)*0.26))</f>
        <v>0.19539563999999998</v>
      </c>
      <c r="M258" s="76">
        <f t="shared" si="4"/>
        <v>0.19539563999999998</v>
      </c>
      <c r="N258" s="77" t="s">
        <v>251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</row>
    <row r="259" spans="1:14" s="6" customFormat="1" ht="23.25" customHeight="1">
      <c r="A259" s="1"/>
      <c r="B259" s="1" t="s">
        <v>312</v>
      </c>
      <c r="C259" s="79" t="s">
        <v>428</v>
      </c>
      <c r="D259" s="1" t="s">
        <v>411</v>
      </c>
      <c r="E259" s="83">
        <v>43951</v>
      </c>
      <c r="F259" s="80">
        <v>43955</v>
      </c>
      <c r="G259" s="80">
        <v>43958</v>
      </c>
      <c r="H259" s="67">
        <v>0.05</v>
      </c>
      <c r="I259" s="76">
        <v>0.0211</v>
      </c>
      <c r="J259" s="88">
        <v>0</v>
      </c>
      <c r="K259" s="88">
        <v>0.0211</v>
      </c>
      <c r="L259" s="76">
        <f>+K259-((K259*0.002*0.125)+(K259*(1-0.002)*0.26))</f>
        <v>0.015619697</v>
      </c>
      <c r="M259" s="76">
        <f t="shared" si="4"/>
        <v>0.015619697</v>
      </c>
      <c r="N259" s="77" t="s">
        <v>251</v>
      </c>
    </row>
    <row r="260" spans="1:14" s="6" customFormat="1" ht="23.25" customHeight="1">
      <c r="A260" s="1" t="s">
        <v>190</v>
      </c>
      <c r="B260" s="82" t="s">
        <v>190</v>
      </c>
      <c r="C260" s="108" t="s">
        <v>370</v>
      </c>
      <c r="D260" s="1" t="s">
        <v>411</v>
      </c>
      <c r="E260" s="83">
        <v>43951</v>
      </c>
      <c r="F260" s="80">
        <v>43955</v>
      </c>
      <c r="G260" s="80">
        <v>43958</v>
      </c>
      <c r="H260" s="67">
        <v>0.05</v>
      </c>
      <c r="I260" s="76">
        <v>0.3999</v>
      </c>
      <c r="J260" s="88">
        <v>0</v>
      </c>
      <c r="K260" s="88">
        <v>0.3999</v>
      </c>
      <c r="L260" s="76">
        <f>+K260-((K260*0.002*0.125)+(K260*(1-0.002)*0.26))</f>
        <v>0.296033973</v>
      </c>
      <c r="M260" s="76">
        <f t="shared" si="4"/>
        <v>0.296033973</v>
      </c>
      <c r="N260" s="77" t="s">
        <v>251</v>
      </c>
    </row>
    <row r="261" spans="1:14" s="6" customFormat="1" ht="23.25" customHeight="1">
      <c r="A261" s="1" t="s">
        <v>198</v>
      </c>
      <c r="B261" s="109" t="s">
        <v>198</v>
      </c>
      <c r="C261" s="110" t="s">
        <v>371</v>
      </c>
      <c r="D261" s="109" t="s">
        <v>411</v>
      </c>
      <c r="E261" s="83">
        <v>43951</v>
      </c>
      <c r="F261" s="80">
        <v>43955</v>
      </c>
      <c r="G261" s="80">
        <v>43958</v>
      </c>
      <c r="H261" s="67">
        <v>0.05</v>
      </c>
      <c r="I261" s="76">
        <v>0.3995</v>
      </c>
      <c r="J261" s="88">
        <v>0</v>
      </c>
      <c r="K261" s="88">
        <v>0.3995</v>
      </c>
      <c r="L261" s="76">
        <f>+K261-((K261*0.002*0.125)+(K261*(1-0.002)*0.26))</f>
        <v>0.295737865</v>
      </c>
      <c r="M261" s="76">
        <f t="shared" si="4"/>
        <v>0.295737865</v>
      </c>
      <c r="N261" s="77" t="s">
        <v>251</v>
      </c>
    </row>
    <row r="262" spans="1:14" s="6" customFormat="1" ht="23.25" customHeight="1">
      <c r="A262" s="1"/>
      <c r="B262" s="111" t="s">
        <v>516</v>
      </c>
      <c r="C262" s="79" t="s">
        <v>518</v>
      </c>
      <c r="D262" s="1" t="s">
        <v>411</v>
      </c>
      <c r="E262" s="83">
        <v>43951</v>
      </c>
      <c r="F262" s="80">
        <v>43955</v>
      </c>
      <c r="G262" s="80">
        <v>43958</v>
      </c>
      <c r="H262" s="128">
        <v>0.02</v>
      </c>
      <c r="I262" s="76">
        <v>0.1357</v>
      </c>
      <c r="J262" s="88">
        <v>0</v>
      </c>
      <c r="K262" s="88">
        <v>0.1357</v>
      </c>
      <c r="L262" s="76">
        <f>+K262-((K262*0.135*0.125)+(K262*(1-0.135)*0.26))</f>
        <v>0.10289113249999998</v>
      </c>
      <c r="M262" s="76">
        <f aca="true" t="shared" si="6" ref="M262:M325">J262+L262</f>
        <v>0.10289113249999998</v>
      </c>
      <c r="N262" s="77" t="s">
        <v>251</v>
      </c>
    </row>
    <row r="263" spans="1:14" s="6" customFormat="1" ht="23.25" customHeight="1">
      <c r="A263" s="1"/>
      <c r="B263" s="1" t="s">
        <v>517</v>
      </c>
      <c r="C263" s="79" t="s">
        <v>519</v>
      </c>
      <c r="D263" s="1" t="s">
        <v>411</v>
      </c>
      <c r="E263" s="83">
        <v>43951</v>
      </c>
      <c r="F263" s="80">
        <v>43955</v>
      </c>
      <c r="G263" s="80">
        <v>43958</v>
      </c>
      <c r="H263" s="128">
        <v>0.02</v>
      </c>
      <c r="I263" s="76">
        <v>0.1364</v>
      </c>
      <c r="J263" s="88">
        <v>0</v>
      </c>
      <c r="K263" s="88">
        <v>0.1364</v>
      </c>
      <c r="L263" s="76">
        <f>+K263-((K263*0.135*0.125)+(K263*(1-0.135)*0.26))</f>
        <v>0.10342188999999999</v>
      </c>
      <c r="M263" s="76">
        <f t="shared" si="6"/>
        <v>0.10342188999999999</v>
      </c>
      <c r="N263" s="77" t="s">
        <v>251</v>
      </c>
    </row>
    <row r="264" spans="1:199" s="6" customFormat="1" ht="23.25" customHeight="1">
      <c r="A264" s="1"/>
      <c r="B264" s="1" t="s">
        <v>313</v>
      </c>
      <c r="C264" s="79" t="s">
        <v>429</v>
      </c>
      <c r="D264" s="1" t="s">
        <v>411</v>
      </c>
      <c r="E264" s="83">
        <v>43951</v>
      </c>
      <c r="F264" s="80">
        <v>43955</v>
      </c>
      <c r="G264" s="80">
        <v>43958</v>
      </c>
      <c r="H264" s="70">
        <v>0.0225</v>
      </c>
      <c r="I264" s="76">
        <v>0.0093</v>
      </c>
      <c r="J264" s="88">
        <v>0</v>
      </c>
      <c r="K264" s="88">
        <v>0.0093</v>
      </c>
      <c r="L264" s="76">
        <f>+K264-((K264*0.135*0.125)+(K264*(1-0.135)*0.26))</f>
        <v>0.007051492499999999</v>
      </c>
      <c r="M264" s="76">
        <f t="shared" si="6"/>
        <v>0.007051492499999999</v>
      </c>
      <c r="N264" s="77" t="s">
        <v>251</v>
      </c>
      <c r="GP264" s="42"/>
      <c r="GQ264" s="42"/>
    </row>
    <row r="265" spans="1:14" s="29" customFormat="1" ht="23.25" customHeight="1">
      <c r="A265" s="12"/>
      <c r="B265" s="12" t="s">
        <v>514</v>
      </c>
      <c r="C265" s="64" t="s">
        <v>515</v>
      </c>
      <c r="D265" s="12" t="s">
        <v>411</v>
      </c>
      <c r="E265" s="65">
        <v>43980</v>
      </c>
      <c r="F265" s="66">
        <v>43984</v>
      </c>
      <c r="G265" s="66">
        <v>43987</v>
      </c>
      <c r="H265" s="128">
        <v>0.03</v>
      </c>
      <c r="I265" s="113">
        <v>0.1916</v>
      </c>
      <c r="J265" s="113">
        <v>0</v>
      </c>
      <c r="K265" s="113">
        <v>0.1916</v>
      </c>
      <c r="L265" s="60">
        <f>+K265-((K265*0.135*0.125)+(K265*(1-0.135)*0.26))</f>
        <v>0.14527591</v>
      </c>
      <c r="M265" s="60">
        <f t="shared" si="6"/>
        <v>0.14527591</v>
      </c>
      <c r="N265" s="67" t="s">
        <v>251</v>
      </c>
    </row>
    <row r="266" spans="1:252" s="29" customFormat="1" ht="23.25" customHeight="1">
      <c r="A266" s="12"/>
      <c r="B266" s="12" t="s">
        <v>310</v>
      </c>
      <c r="C266" s="64" t="s">
        <v>424</v>
      </c>
      <c r="D266" s="12" t="s">
        <v>411</v>
      </c>
      <c r="E266" s="65">
        <v>43980</v>
      </c>
      <c r="F266" s="66">
        <v>43984</v>
      </c>
      <c r="G266" s="66">
        <v>43987</v>
      </c>
      <c r="H266" s="70">
        <v>0.05</v>
      </c>
      <c r="I266" s="60">
        <v>0.0209</v>
      </c>
      <c r="J266" s="113">
        <v>0</v>
      </c>
      <c r="K266" s="113">
        <v>0.0209</v>
      </c>
      <c r="L266" s="60">
        <f>+K266-((K266*0.04*0.125)+(K266*(1-0.04)*0.26))</f>
        <v>0.015578859999999998</v>
      </c>
      <c r="M266" s="60">
        <f t="shared" si="6"/>
        <v>0.015578859999999998</v>
      </c>
      <c r="N266" s="67" t="s">
        <v>251</v>
      </c>
      <c r="IR266" s="168"/>
    </row>
    <row r="267" spans="1:252" s="29" customFormat="1" ht="23.25" customHeight="1">
      <c r="A267" s="12" t="s">
        <v>188</v>
      </c>
      <c r="B267" s="12" t="s">
        <v>188</v>
      </c>
      <c r="C267" s="69" t="s">
        <v>339</v>
      </c>
      <c r="D267" s="12" t="s">
        <v>411</v>
      </c>
      <c r="E267" s="65">
        <v>43980</v>
      </c>
      <c r="F267" s="66">
        <v>43984</v>
      </c>
      <c r="G267" s="66">
        <v>43987</v>
      </c>
      <c r="H267" s="70">
        <v>0.05</v>
      </c>
      <c r="I267" s="60">
        <v>0.3655</v>
      </c>
      <c r="J267" s="113">
        <v>0</v>
      </c>
      <c r="K267" s="113">
        <v>0.3655</v>
      </c>
      <c r="L267" s="60">
        <f>+K267-((K267*0.04*0.125)+(K267*(1-0.04)*0.26))</f>
        <v>0.2724437</v>
      </c>
      <c r="M267" s="60">
        <f t="shared" si="6"/>
        <v>0.2724437</v>
      </c>
      <c r="N267" s="67" t="s">
        <v>251</v>
      </c>
      <c r="IR267" s="168"/>
    </row>
    <row r="268" spans="1:252" s="29" customFormat="1" ht="23.25" customHeight="1">
      <c r="A268" s="12" t="s">
        <v>196</v>
      </c>
      <c r="B268" s="12" t="s">
        <v>196</v>
      </c>
      <c r="C268" s="74" t="s">
        <v>340</v>
      </c>
      <c r="D268" s="73" t="s">
        <v>411</v>
      </c>
      <c r="E268" s="65">
        <v>43980</v>
      </c>
      <c r="F268" s="66">
        <v>43984</v>
      </c>
      <c r="G268" s="66">
        <v>43987</v>
      </c>
      <c r="H268" s="70">
        <v>0.05</v>
      </c>
      <c r="I268" s="60">
        <v>0.3778</v>
      </c>
      <c r="J268" s="113">
        <v>0</v>
      </c>
      <c r="K268" s="113">
        <v>0.3778</v>
      </c>
      <c r="L268" s="60">
        <f>+K268-((K268*0.04*0.125)+(K268*(1-0.04)*0.26))</f>
        <v>0.28161212</v>
      </c>
      <c r="M268" s="60">
        <f t="shared" si="6"/>
        <v>0.28161212</v>
      </c>
      <c r="N268" s="67" t="s">
        <v>251</v>
      </c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IR268" s="168"/>
    </row>
    <row r="269" spans="1:14" s="29" customFormat="1" ht="23.25" customHeight="1">
      <c r="A269" s="12" t="s">
        <v>229</v>
      </c>
      <c r="B269" s="12" t="s">
        <v>191</v>
      </c>
      <c r="C269" s="69" t="s">
        <v>346</v>
      </c>
      <c r="D269" s="12" t="s">
        <v>411</v>
      </c>
      <c r="E269" s="65">
        <v>43980</v>
      </c>
      <c r="F269" s="66">
        <v>43984</v>
      </c>
      <c r="G269" s="66">
        <v>43987</v>
      </c>
      <c r="H269" s="67">
        <v>0.035</v>
      </c>
      <c r="I269" s="60">
        <v>0.0147</v>
      </c>
      <c r="J269" s="113">
        <v>0</v>
      </c>
      <c r="K269" s="113">
        <v>0.0147</v>
      </c>
      <c r="L269" s="60">
        <f>+K269-((K269*0.837*0.125)+(K269*(1-0.837)*0.26))</f>
        <v>0.0125390265</v>
      </c>
      <c r="M269" s="60">
        <f t="shared" si="6"/>
        <v>0.0125390265</v>
      </c>
      <c r="N269" s="67" t="s">
        <v>251</v>
      </c>
    </row>
    <row r="270" spans="1:14" s="29" customFormat="1" ht="23.25" customHeight="1">
      <c r="A270" s="12" t="s">
        <v>231</v>
      </c>
      <c r="B270" s="12" t="s">
        <v>199</v>
      </c>
      <c r="C270" s="74" t="s">
        <v>347</v>
      </c>
      <c r="D270" s="73" t="s">
        <v>411</v>
      </c>
      <c r="E270" s="65">
        <v>43980</v>
      </c>
      <c r="F270" s="66">
        <v>43984</v>
      </c>
      <c r="G270" s="66">
        <v>43987</v>
      </c>
      <c r="H270" s="67">
        <v>0.035</v>
      </c>
      <c r="I270" s="60">
        <v>0.0147</v>
      </c>
      <c r="J270" s="113">
        <v>0</v>
      </c>
      <c r="K270" s="113">
        <v>0.0147</v>
      </c>
      <c r="L270" s="60">
        <f>+K270-((K270*0.837*0.125)+(K270*(1-0.837)*0.26))</f>
        <v>0.0125390265</v>
      </c>
      <c r="M270" s="60">
        <f t="shared" si="6"/>
        <v>0.0125390265</v>
      </c>
      <c r="N270" s="67" t="s">
        <v>251</v>
      </c>
    </row>
    <row r="271" spans="1:252" s="29" customFormat="1" ht="23.25" customHeight="1">
      <c r="A271" s="12"/>
      <c r="B271" s="12" t="s">
        <v>306</v>
      </c>
      <c r="C271" s="64" t="s">
        <v>430</v>
      </c>
      <c r="D271" s="12" t="s">
        <v>411</v>
      </c>
      <c r="E271" s="65">
        <v>43980</v>
      </c>
      <c r="F271" s="66">
        <v>43984</v>
      </c>
      <c r="G271" s="66">
        <v>43987</v>
      </c>
      <c r="H271" s="67">
        <v>0.02</v>
      </c>
      <c r="I271" s="60">
        <v>0.0084</v>
      </c>
      <c r="J271" s="113">
        <v>0</v>
      </c>
      <c r="K271" s="113">
        <v>0.0084</v>
      </c>
      <c r="L271" s="60">
        <f>+K271-((K271*0.0000001*0.125)+(K271*(1-0.0000001)*0.26))</f>
        <v>0.0062160001134</v>
      </c>
      <c r="M271" s="60">
        <f t="shared" si="6"/>
        <v>0.0062160001134</v>
      </c>
      <c r="N271" s="67" t="s">
        <v>251</v>
      </c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</row>
    <row r="272" spans="1:252" s="30" customFormat="1" ht="26.25" customHeight="1">
      <c r="A272" s="12" t="s">
        <v>184</v>
      </c>
      <c r="B272" s="12" t="s">
        <v>184</v>
      </c>
      <c r="C272" s="69" t="s">
        <v>354</v>
      </c>
      <c r="D272" s="12" t="s">
        <v>411</v>
      </c>
      <c r="E272" s="65">
        <v>43980</v>
      </c>
      <c r="F272" s="66">
        <v>43984</v>
      </c>
      <c r="G272" s="66">
        <v>43987</v>
      </c>
      <c r="H272" s="67">
        <v>0.02</v>
      </c>
      <c r="I272" s="60">
        <v>0.1688</v>
      </c>
      <c r="J272" s="113">
        <v>0</v>
      </c>
      <c r="K272" s="113">
        <v>0.1688</v>
      </c>
      <c r="L272" s="60">
        <f>+K272-((K272*0.0000001*0.125)+(K272*(1-0.0000001)*0.26))</f>
        <v>0.1249120022788</v>
      </c>
      <c r="M272" s="60">
        <f t="shared" si="6"/>
        <v>0.1249120022788</v>
      </c>
      <c r="N272" s="67" t="s">
        <v>251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</row>
    <row r="273" spans="1:252" s="30" customFormat="1" ht="26.25" customHeight="1">
      <c r="A273" s="12" t="s">
        <v>192</v>
      </c>
      <c r="B273" s="12" t="s">
        <v>192</v>
      </c>
      <c r="C273" s="74" t="s">
        <v>355</v>
      </c>
      <c r="D273" s="73" t="s">
        <v>411</v>
      </c>
      <c r="E273" s="65">
        <v>43980</v>
      </c>
      <c r="F273" s="66">
        <v>43984</v>
      </c>
      <c r="G273" s="66">
        <v>43987</v>
      </c>
      <c r="H273" s="67">
        <v>0.02</v>
      </c>
      <c r="I273" s="114">
        <v>0.1698</v>
      </c>
      <c r="J273" s="113">
        <v>0</v>
      </c>
      <c r="K273" s="113">
        <v>0.1698</v>
      </c>
      <c r="L273" s="60">
        <f>+K273-((K273*0.0000001*0.125)+(K273*(1-0.0000001)*0.26))</f>
        <v>0.1256520022923</v>
      </c>
      <c r="M273" s="60">
        <f t="shared" si="6"/>
        <v>0.1256520022923</v>
      </c>
      <c r="N273" s="67" t="s">
        <v>251</v>
      </c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</row>
    <row r="274" spans="1:199" s="30" customFormat="1" ht="26.25" customHeight="1">
      <c r="A274" s="12"/>
      <c r="B274" s="12" t="s">
        <v>311</v>
      </c>
      <c r="C274" s="64" t="s">
        <v>425</v>
      </c>
      <c r="D274" s="12" t="s">
        <v>411</v>
      </c>
      <c r="E274" s="65">
        <v>43980</v>
      </c>
      <c r="F274" s="66">
        <v>43984</v>
      </c>
      <c r="G274" s="66">
        <v>43987</v>
      </c>
      <c r="H274" s="67">
        <v>0.01</v>
      </c>
      <c r="I274" s="60">
        <v>0.0042</v>
      </c>
      <c r="J274" s="113">
        <v>0</v>
      </c>
      <c r="K274" s="113">
        <v>0.0042</v>
      </c>
      <c r="L274" s="60">
        <f>+K274-((K274*0.0000000001*0.125)+(K274*(1-0.000000001)*0.26))</f>
        <v>0.0031080000010394997</v>
      </c>
      <c r="M274" s="60">
        <f t="shared" si="6"/>
        <v>0.0031080000010394997</v>
      </c>
      <c r="N274" s="67" t="s">
        <v>251</v>
      </c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</row>
    <row r="275" spans="1:199" s="30" customFormat="1" ht="26.25" customHeight="1">
      <c r="A275" s="12" t="s">
        <v>189</v>
      </c>
      <c r="B275" s="12" t="s">
        <v>189</v>
      </c>
      <c r="C275" s="69" t="s">
        <v>356</v>
      </c>
      <c r="D275" s="12" t="s">
        <v>411</v>
      </c>
      <c r="E275" s="65">
        <v>43980</v>
      </c>
      <c r="F275" s="66">
        <v>43984</v>
      </c>
      <c r="G275" s="66">
        <v>43987</v>
      </c>
      <c r="H275" s="67">
        <v>0.01</v>
      </c>
      <c r="I275" s="60">
        <v>0.0763</v>
      </c>
      <c r="J275" s="113">
        <v>0</v>
      </c>
      <c r="K275" s="113">
        <v>0.0763</v>
      </c>
      <c r="L275" s="60">
        <f>+K275-((K275*0.0000000001*0.125)+(K275*(1-0.000000001)*0.26))</f>
        <v>0.056462000018884254</v>
      </c>
      <c r="M275" s="60">
        <f t="shared" si="6"/>
        <v>0.056462000018884254</v>
      </c>
      <c r="N275" s="67" t="s">
        <v>251</v>
      </c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</row>
    <row r="276" spans="1:199" s="30" customFormat="1" ht="26.25" customHeight="1">
      <c r="A276" s="12" t="s">
        <v>197</v>
      </c>
      <c r="B276" s="12" t="s">
        <v>197</v>
      </c>
      <c r="C276" s="74" t="s">
        <v>357</v>
      </c>
      <c r="D276" s="73" t="s">
        <v>411</v>
      </c>
      <c r="E276" s="65">
        <v>43980</v>
      </c>
      <c r="F276" s="66">
        <v>43984</v>
      </c>
      <c r="G276" s="66">
        <v>43987</v>
      </c>
      <c r="H276" s="67">
        <v>0.01</v>
      </c>
      <c r="I276" s="60">
        <v>0.0774</v>
      </c>
      <c r="J276" s="113">
        <v>0</v>
      </c>
      <c r="K276" s="113">
        <v>0.0774</v>
      </c>
      <c r="L276" s="60">
        <f>+K276-((K276*0.0000000001*0.125)+(K276*(1-0.000000001)*0.26))</f>
        <v>0.057276000019156496</v>
      </c>
      <c r="M276" s="60">
        <f t="shared" si="6"/>
        <v>0.057276000019156496</v>
      </c>
      <c r="N276" s="67" t="s">
        <v>251</v>
      </c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</row>
    <row r="277" spans="1:14" s="30" customFormat="1" ht="26.25" customHeight="1">
      <c r="A277" s="12"/>
      <c r="B277" s="12" t="s">
        <v>308</v>
      </c>
      <c r="C277" s="64" t="s">
        <v>426</v>
      </c>
      <c r="D277" s="12" t="s">
        <v>411</v>
      </c>
      <c r="E277" s="65">
        <v>43980</v>
      </c>
      <c r="F277" s="66">
        <v>43984</v>
      </c>
      <c r="G277" s="66">
        <v>43987</v>
      </c>
      <c r="H277" s="67">
        <v>0.015</v>
      </c>
      <c r="I277" s="60">
        <v>0.0062</v>
      </c>
      <c r="J277" s="113">
        <v>0</v>
      </c>
      <c r="K277" s="113">
        <v>0.0062</v>
      </c>
      <c r="L277" s="60">
        <f>+K277-((K277*0.478*0.125)+(K277*(1-0.478)*0.26))</f>
        <v>0.004988086</v>
      </c>
      <c r="M277" s="60">
        <f t="shared" si="6"/>
        <v>0.004988086</v>
      </c>
      <c r="N277" s="67" t="s">
        <v>251</v>
      </c>
    </row>
    <row r="278" spans="1:199" s="30" customFormat="1" ht="26.25" customHeight="1">
      <c r="A278" s="12" t="s">
        <v>186</v>
      </c>
      <c r="B278" s="12" t="s">
        <v>186</v>
      </c>
      <c r="C278" s="69" t="s">
        <v>363</v>
      </c>
      <c r="D278" s="12" t="s">
        <v>411</v>
      </c>
      <c r="E278" s="65">
        <v>43980</v>
      </c>
      <c r="F278" s="66">
        <v>43984</v>
      </c>
      <c r="G278" s="66">
        <v>43987</v>
      </c>
      <c r="H278" s="67">
        <v>0.015</v>
      </c>
      <c r="I278" s="60">
        <v>0.114</v>
      </c>
      <c r="J278" s="113">
        <v>0</v>
      </c>
      <c r="K278" s="113">
        <v>0.114</v>
      </c>
      <c r="L278" s="60">
        <f>+K278-((K278*0.478*0.125)+(K278*(1-0.478)*0.26))</f>
        <v>0.09171641999999999</v>
      </c>
      <c r="M278" s="60">
        <f t="shared" si="6"/>
        <v>0.09171641999999999</v>
      </c>
      <c r="N278" s="67" t="s">
        <v>251</v>
      </c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</row>
    <row r="279" spans="1:14" s="30" customFormat="1" ht="26.25" customHeight="1">
      <c r="A279" s="12" t="s">
        <v>194</v>
      </c>
      <c r="B279" s="12" t="s">
        <v>194</v>
      </c>
      <c r="C279" s="74" t="s">
        <v>364</v>
      </c>
      <c r="D279" s="73" t="s">
        <v>411</v>
      </c>
      <c r="E279" s="65">
        <v>43980</v>
      </c>
      <c r="F279" s="66">
        <v>43984</v>
      </c>
      <c r="G279" s="66">
        <v>43987</v>
      </c>
      <c r="H279" s="67">
        <v>0.015</v>
      </c>
      <c r="I279" s="60">
        <v>0.1168</v>
      </c>
      <c r="J279" s="113">
        <v>0</v>
      </c>
      <c r="K279" s="113">
        <v>0.1168</v>
      </c>
      <c r="L279" s="60">
        <f>+K279-((K279*0.478*0.125)+(K279*(1-0.478)*0.26))</f>
        <v>0.093969104</v>
      </c>
      <c r="M279" s="60">
        <f t="shared" si="6"/>
        <v>0.093969104</v>
      </c>
      <c r="N279" s="67" t="s">
        <v>251</v>
      </c>
    </row>
    <row r="280" spans="1:14" s="30" customFormat="1" ht="26.25" customHeight="1">
      <c r="A280" s="12"/>
      <c r="B280" s="12" t="s">
        <v>307</v>
      </c>
      <c r="C280" s="64" t="s">
        <v>420</v>
      </c>
      <c r="D280" s="12" t="s">
        <v>411</v>
      </c>
      <c r="E280" s="65">
        <v>43980</v>
      </c>
      <c r="F280" s="66">
        <v>43984</v>
      </c>
      <c r="G280" s="66">
        <v>43987</v>
      </c>
      <c r="H280" s="67">
        <v>0.015</v>
      </c>
      <c r="I280" s="60">
        <v>0.0062</v>
      </c>
      <c r="J280" s="113">
        <v>0</v>
      </c>
      <c r="K280" s="113">
        <v>0.0062</v>
      </c>
      <c r="L280" s="60">
        <f>+K280-((K280*0.588*0.125)+(K280*(1-0.588)*0.26))</f>
        <v>0.005080156</v>
      </c>
      <c r="M280" s="60">
        <f t="shared" si="6"/>
        <v>0.005080156</v>
      </c>
      <c r="N280" s="67" t="s">
        <v>251</v>
      </c>
    </row>
    <row r="281" spans="1:14" s="30" customFormat="1" ht="26.25" customHeight="1">
      <c r="A281" s="12" t="s">
        <v>185</v>
      </c>
      <c r="B281" s="12" t="s">
        <v>185</v>
      </c>
      <c r="C281" s="69" t="s">
        <v>366</v>
      </c>
      <c r="D281" s="12" t="s">
        <v>411</v>
      </c>
      <c r="E281" s="65">
        <v>43980</v>
      </c>
      <c r="F281" s="66">
        <v>43984</v>
      </c>
      <c r="G281" s="66">
        <v>43987</v>
      </c>
      <c r="H281" s="67">
        <v>0.015</v>
      </c>
      <c r="I281" s="60">
        <v>0.1039</v>
      </c>
      <c r="J281" s="113">
        <v>0</v>
      </c>
      <c r="K281" s="113">
        <v>0.1039</v>
      </c>
      <c r="L281" s="60">
        <f>+K281-((K281*0.588*0.125)+(K281*(1-0.588)*0.26))</f>
        <v>0.08513358200000001</v>
      </c>
      <c r="M281" s="60">
        <f t="shared" si="6"/>
        <v>0.08513358200000001</v>
      </c>
      <c r="N281" s="67" t="s">
        <v>251</v>
      </c>
    </row>
    <row r="282" spans="1:14" s="30" customFormat="1" ht="26.25" customHeight="1">
      <c r="A282" s="12" t="s">
        <v>193</v>
      </c>
      <c r="B282" s="12" t="s">
        <v>193</v>
      </c>
      <c r="C282" s="74" t="s">
        <v>367</v>
      </c>
      <c r="D282" s="73" t="s">
        <v>411</v>
      </c>
      <c r="E282" s="65">
        <v>43980</v>
      </c>
      <c r="F282" s="66">
        <v>43984</v>
      </c>
      <c r="G282" s="66">
        <v>43987</v>
      </c>
      <c r="H282" s="67">
        <v>0.015</v>
      </c>
      <c r="I282" s="60">
        <v>0.1009</v>
      </c>
      <c r="J282" s="113">
        <v>0</v>
      </c>
      <c r="K282" s="113">
        <v>0.1009</v>
      </c>
      <c r="L282" s="60">
        <f>+K282-((K282*0.588*0.125)+(K282*(1-0.588)*0.26))</f>
        <v>0.082675442</v>
      </c>
      <c r="M282" s="60">
        <f t="shared" si="6"/>
        <v>0.082675442</v>
      </c>
      <c r="N282" s="67" t="s">
        <v>251</v>
      </c>
    </row>
    <row r="283" spans="1:14" s="30" customFormat="1" ht="26.25" customHeight="1">
      <c r="A283" s="12"/>
      <c r="B283" s="12" t="s">
        <v>309</v>
      </c>
      <c r="C283" s="64" t="s">
        <v>427</v>
      </c>
      <c r="D283" s="12" t="s">
        <v>411</v>
      </c>
      <c r="E283" s="65">
        <v>43980</v>
      </c>
      <c r="F283" s="66">
        <v>43984</v>
      </c>
      <c r="G283" s="66">
        <v>43987</v>
      </c>
      <c r="H283" s="67">
        <v>0.035</v>
      </c>
      <c r="I283" s="60">
        <v>0.0145</v>
      </c>
      <c r="J283" s="113">
        <v>0</v>
      </c>
      <c r="K283" s="113">
        <v>0.0145</v>
      </c>
      <c r="L283" s="60">
        <f>+K283-((K283*0.001*0.125)+(K283*(1-0.001)*0.26))</f>
        <v>0.0107319575</v>
      </c>
      <c r="M283" s="60">
        <f t="shared" si="6"/>
        <v>0.0107319575</v>
      </c>
      <c r="N283" s="67" t="s">
        <v>251</v>
      </c>
    </row>
    <row r="284" spans="1:199" s="30" customFormat="1" ht="26.25" customHeight="1">
      <c r="A284" s="12" t="s">
        <v>187</v>
      </c>
      <c r="B284" s="12" t="s">
        <v>187</v>
      </c>
      <c r="C284" s="69" t="s">
        <v>368</v>
      </c>
      <c r="D284" s="12" t="s">
        <v>411</v>
      </c>
      <c r="E284" s="65">
        <v>43980</v>
      </c>
      <c r="F284" s="66">
        <v>43984</v>
      </c>
      <c r="G284" s="66">
        <v>43987</v>
      </c>
      <c r="H284" s="67">
        <v>0.035</v>
      </c>
      <c r="I284" s="60">
        <v>0.2568</v>
      </c>
      <c r="J284" s="113">
        <v>0</v>
      </c>
      <c r="K284" s="113">
        <v>0.2568</v>
      </c>
      <c r="L284" s="60">
        <f>+K284-((K284*0.001*0.125)+(K284*(1-0.001)*0.26))</f>
        <v>0.190066668</v>
      </c>
      <c r="M284" s="60">
        <f t="shared" si="6"/>
        <v>0.190066668</v>
      </c>
      <c r="N284" s="67" t="s">
        <v>251</v>
      </c>
      <c r="GP284" s="94"/>
      <c r="GQ284" s="94"/>
    </row>
    <row r="285" spans="1:14" s="30" customFormat="1" ht="26.25" customHeight="1">
      <c r="A285" s="12" t="s">
        <v>195</v>
      </c>
      <c r="B285" s="12" t="s">
        <v>195</v>
      </c>
      <c r="C285" s="74" t="s">
        <v>369</v>
      </c>
      <c r="D285" s="73" t="s">
        <v>411</v>
      </c>
      <c r="E285" s="65">
        <v>43980</v>
      </c>
      <c r="F285" s="66">
        <v>43984</v>
      </c>
      <c r="G285" s="66">
        <v>43987</v>
      </c>
      <c r="H285" s="67">
        <v>0.035</v>
      </c>
      <c r="I285" s="60">
        <v>0.264</v>
      </c>
      <c r="J285" s="113">
        <v>0</v>
      </c>
      <c r="K285" s="113">
        <v>0.264</v>
      </c>
      <c r="L285" s="60">
        <f>+K285-((K285*0.001*0.125)+(K285*(1-0.001)*0.26))</f>
        <v>0.19539563999999998</v>
      </c>
      <c r="M285" s="60">
        <f t="shared" si="6"/>
        <v>0.19539563999999998</v>
      </c>
      <c r="N285" s="67" t="s">
        <v>251</v>
      </c>
    </row>
    <row r="286" spans="1:199" s="30" customFormat="1" ht="26.25" customHeight="1">
      <c r="A286" s="12"/>
      <c r="B286" s="12" t="s">
        <v>312</v>
      </c>
      <c r="C286" s="64" t="s">
        <v>428</v>
      </c>
      <c r="D286" s="12" t="s">
        <v>411</v>
      </c>
      <c r="E286" s="65">
        <v>43980</v>
      </c>
      <c r="F286" s="66">
        <v>43984</v>
      </c>
      <c r="G286" s="66">
        <v>43987</v>
      </c>
      <c r="H286" s="67">
        <v>0.05</v>
      </c>
      <c r="I286" s="60">
        <v>0.0211</v>
      </c>
      <c r="J286" s="113">
        <v>0</v>
      </c>
      <c r="K286" s="113">
        <v>0.0211</v>
      </c>
      <c r="L286" s="60">
        <f>+K286-((K286*0.002*0.125)+(K286*(1-0.002)*0.26))</f>
        <v>0.015619697</v>
      </c>
      <c r="M286" s="60">
        <f t="shared" si="6"/>
        <v>0.015619697</v>
      </c>
      <c r="N286" s="67" t="s">
        <v>251</v>
      </c>
      <c r="GP286" s="94"/>
      <c r="GQ286" s="94"/>
    </row>
    <row r="287" spans="1:14" s="30" customFormat="1" ht="26.25" customHeight="1">
      <c r="A287" s="12" t="s">
        <v>190</v>
      </c>
      <c r="B287" s="12" t="s">
        <v>190</v>
      </c>
      <c r="C287" s="69" t="s">
        <v>370</v>
      </c>
      <c r="D287" s="12" t="s">
        <v>411</v>
      </c>
      <c r="E287" s="65">
        <v>43980</v>
      </c>
      <c r="F287" s="66">
        <v>43984</v>
      </c>
      <c r="G287" s="66">
        <v>43987</v>
      </c>
      <c r="H287" s="67">
        <v>0.05</v>
      </c>
      <c r="I287" s="60">
        <v>0.3999</v>
      </c>
      <c r="J287" s="113">
        <v>0</v>
      </c>
      <c r="K287" s="113">
        <v>0.3999</v>
      </c>
      <c r="L287" s="60">
        <f>+K287-((K287*0.002*0.125)+(K287*(1-0.002)*0.26))</f>
        <v>0.296033973</v>
      </c>
      <c r="M287" s="60">
        <f t="shared" si="6"/>
        <v>0.296033973</v>
      </c>
      <c r="N287" s="67" t="s">
        <v>251</v>
      </c>
    </row>
    <row r="288" spans="1:14" s="30" customFormat="1" ht="26.25" customHeight="1">
      <c r="A288" s="12" t="s">
        <v>198</v>
      </c>
      <c r="B288" s="12" t="s">
        <v>198</v>
      </c>
      <c r="C288" s="74" t="s">
        <v>371</v>
      </c>
      <c r="D288" s="73" t="s">
        <v>411</v>
      </c>
      <c r="E288" s="65">
        <v>43980</v>
      </c>
      <c r="F288" s="66">
        <v>43984</v>
      </c>
      <c r="G288" s="66">
        <v>43987</v>
      </c>
      <c r="H288" s="67">
        <v>0.05</v>
      </c>
      <c r="I288" s="60">
        <v>0.3995</v>
      </c>
      <c r="J288" s="113">
        <v>0</v>
      </c>
      <c r="K288" s="113">
        <v>0.3995</v>
      </c>
      <c r="L288" s="60">
        <f>+K288-((K288*0.002*0.125)+(K288*(1-0.002)*0.26))</f>
        <v>0.295737865</v>
      </c>
      <c r="M288" s="60">
        <f t="shared" si="6"/>
        <v>0.295737865</v>
      </c>
      <c r="N288" s="67" t="s">
        <v>251</v>
      </c>
    </row>
    <row r="289" spans="1:14" s="29" customFormat="1" ht="23.25" customHeight="1">
      <c r="A289" s="12"/>
      <c r="B289" s="12" t="s">
        <v>516</v>
      </c>
      <c r="C289" s="64" t="s">
        <v>518</v>
      </c>
      <c r="D289" s="12" t="s">
        <v>411</v>
      </c>
      <c r="E289" s="65">
        <v>43980</v>
      </c>
      <c r="F289" s="66">
        <v>43984</v>
      </c>
      <c r="G289" s="66">
        <v>43987</v>
      </c>
      <c r="H289" s="128">
        <v>0.02</v>
      </c>
      <c r="I289" s="113">
        <v>0.1357</v>
      </c>
      <c r="J289" s="113">
        <v>0</v>
      </c>
      <c r="K289" s="113">
        <v>0.1357</v>
      </c>
      <c r="L289" s="60">
        <f>+K289-((K289*0.135*0.125)+(K289*(1-0.135)*0.26))</f>
        <v>0.10289113249999998</v>
      </c>
      <c r="M289" s="60">
        <f t="shared" si="6"/>
        <v>0.10289113249999998</v>
      </c>
      <c r="N289" s="67" t="s">
        <v>251</v>
      </c>
    </row>
    <row r="290" spans="1:14" s="29" customFormat="1" ht="23.25" customHeight="1">
      <c r="A290" s="12"/>
      <c r="B290" s="12" t="s">
        <v>517</v>
      </c>
      <c r="C290" s="64" t="s">
        <v>519</v>
      </c>
      <c r="D290" s="12" t="s">
        <v>411</v>
      </c>
      <c r="E290" s="65">
        <v>43980</v>
      </c>
      <c r="F290" s="66">
        <v>43984</v>
      </c>
      <c r="G290" s="66">
        <v>43987</v>
      </c>
      <c r="H290" s="128">
        <v>0.02</v>
      </c>
      <c r="I290" s="113">
        <v>0.1364</v>
      </c>
      <c r="J290" s="113">
        <v>0</v>
      </c>
      <c r="K290" s="113">
        <v>0.1364</v>
      </c>
      <c r="L290" s="60">
        <f>+K290-((K290*0.135*0.125)+(K290*(1-0.135)*0.26))</f>
        <v>0.10342188999999999</v>
      </c>
      <c r="M290" s="60">
        <f t="shared" si="6"/>
        <v>0.10342188999999999</v>
      </c>
      <c r="N290" s="67" t="s">
        <v>251</v>
      </c>
    </row>
    <row r="291" spans="1:252" s="29" customFormat="1" ht="23.25" customHeight="1">
      <c r="A291" s="12"/>
      <c r="B291" s="12" t="s">
        <v>313</v>
      </c>
      <c r="C291" s="64" t="s">
        <v>429</v>
      </c>
      <c r="D291" s="12" t="s">
        <v>411</v>
      </c>
      <c r="E291" s="65">
        <v>43980</v>
      </c>
      <c r="F291" s="66">
        <v>43984</v>
      </c>
      <c r="G291" s="66">
        <v>43987</v>
      </c>
      <c r="H291" s="70">
        <v>0.0225</v>
      </c>
      <c r="I291" s="60">
        <v>0.0093</v>
      </c>
      <c r="J291" s="113">
        <v>0</v>
      </c>
      <c r="K291" s="113">
        <v>0.0093</v>
      </c>
      <c r="L291" s="60">
        <f>+K291-((K291*0.135*0.125)+(K291*(1-0.135)*0.26))</f>
        <v>0.007051492499999999</v>
      </c>
      <c r="M291" s="60">
        <f t="shared" si="6"/>
        <v>0.007051492499999999</v>
      </c>
      <c r="N291" s="67" t="s">
        <v>251</v>
      </c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</row>
    <row r="292" spans="1:199" ht="23.25" customHeight="1">
      <c r="A292" s="119" t="s">
        <v>122</v>
      </c>
      <c r="B292" s="12" t="s">
        <v>174</v>
      </c>
      <c r="C292" s="74" t="s">
        <v>382</v>
      </c>
      <c r="D292" s="73" t="s">
        <v>410</v>
      </c>
      <c r="E292" s="65">
        <v>44011</v>
      </c>
      <c r="F292" s="66">
        <v>44012</v>
      </c>
      <c r="G292" s="66">
        <v>44015</v>
      </c>
      <c r="H292" s="67"/>
      <c r="I292" s="60">
        <v>0.028476</v>
      </c>
      <c r="J292" s="113">
        <v>0</v>
      </c>
      <c r="K292" s="113">
        <v>0.02847611</v>
      </c>
      <c r="L292" s="60">
        <f>+K292-((K292*0.004*0.125)+(K292*(1-0.004)*0.26))</f>
        <v>0.0210876984994</v>
      </c>
      <c r="M292" s="60">
        <f t="shared" si="6"/>
        <v>0.0210876984994</v>
      </c>
      <c r="N292" s="67" t="s">
        <v>247</v>
      </c>
      <c r="GP292" s="10"/>
      <c r="GQ292" s="10"/>
    </row>
    <row r="293" spans="1:199" ht="23.25" customHeight="1">
      <c r="A293" s="119" t="s">
        <v>123</v>
      </c>
      <c r="B293" s="12" t="s">
        <v>176</v>
      </c>
      <c r="C293" s="74" t="s">
        <v>397</v>
      </c>
      <c r="D293" s="73" t="s">
        <v>410</v>
      </c>
      <c r="E293" s="65">
        <v>44011</v>
      </c>
      <c r="F293" s="66">
        <v>44012</v>
      </c>
      <c r="G293" s="66">
        <v>44015</v>
      </c>
      <c r="H293" s="97"/>
      <c r="I293" s="114">
        <v>0.03799</v>
      </c>
      <c r="J293" s="113">
        <v>0</v>
      </c>
      <c r="K293" s="113">
        <v>0.03799018</v>
      </c>
      <c r="L293" s="60">
        <f>+K293-((K293*0.089*0.125)+(K293*(1-0.089)*0.26))</f>
        <v>0.0285691852127</v>
      </c>
      <c r="M293" s="60">
        <f t="shared" si="6"/>
        <v>0.0285691852127</v>
      </c>
      <c r="N293" s="67" t="s">
        <v>247</v>
      </c>
      <c r="GP293" s="10"/>
      <c r="GQ293" s="10"/>
    </row>
    <row r="294" spans="1:199" ht="23.25" customHeight="1">
      <c r="A294" s="119" t="s">
        <v>124</v>
      </c>
      <c r="B294" s="12" t="s">
        <v>175</v>
      </c>
      <c r="C294" s="74" t="s">
        <v>467</v>
      </c>
      <c r="D294" s="73" t="s">
        <v>410</v>
      </c>
      <c r="E294" s="65">
        <v>44011</v>
      </c>
      <c r="F294" s="66">
        <v>44012</v>
      </c>
      <c r="G294" s="66">
        <v>44015</v>
      </c>
      <c r="H294" s="67"/>
      <c r="I294" s="114">
        <v>0.052143</v>
      </c>
      <c r="J294" s="113">
        <v>0</v>
      </c>
      <c r="K294" s="113">
        <v>0.05214333</v>
      </c>
      <c r="L294" s="60">
        <f>+K294-((K294*0.112*0.125)+(K294*(1-0.112)*0.26))</f>
        <v>0.0393744713496</v>
      </c>
      <c r="M294" s="60">
        <f t="shared" si="6"/>
        <v>0.0393744713496</v>
      </c>
      <c r="N294" s="67" t="s">
        <v>247</v>
      </c>
      <c r="GP294" s="10"/>
      <c r="GQ294" s="10"/>
    </row>
    <row r="295" spans="1:252" ht="23.25" customHeight="1">
      <c r="A295" s="119"/>
      <c r="B295" s="12" t="s">
        <v>514</v>
      </c>
      <c r="C295" s="64" t="s">
        <v>515</v>
      </c>
      <c r="D295" s="12" t="s">
        <v>411</v>
      </c>
      <c r="E295" s="65">
        <v>44012</v>
      </c>
      <c r="F295" s="66">
        <v>44013</v>
      </c>
      <c r="G295" s="66">
        <v>44018</v>
      </c>
      <c r="H295" s="128">
        <v>0.03</v>
      </c>
      <c r="I295" s="241">
        <v>0.1916</v>
      </c>
      <c r="J295" s="113">
        <v>0</v>
      </c>
      <c r="K295" s="113">
        <v>0.1916</v>
      </c>
      <c r="L295" s="60">
        <f>+K295-((K295*0.9057*0.125)+(K295*(1-0.9057)*0.26))</f>
        <v>0.1652108362</v>
      </c>
      <c r="M295" s="60">
        <f t="shared" si="6"/>
        <v>0.1652108362</v>
      </c>
      <c r="N295" s="67" t="s">
        <v>251</v>
      </c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</row>
    <row r="296" spans="1:199" ht="23.25" customHeight="1">
      <c r="A296" s="119"/>
      <c r="B296" s="12" t="s">
        <v>298</v>
      </c>
      <c r="C296" s="64" t="s">
        <v>403</v>
      </c>
      <c r="D296" s="12" t="s">
        <v>410</v>
      </c>
      <c r="E296" s="65">
        <v>44012</v>
      </c>
      <c r="F296" s="66">
        <v>44013</v>
      </c>
      <c r="G296" s="66">
        <v>44018</v>
      </c>
      <c r="H296" s="67">
        <v>0.045</v>
      </c>
      <c r="I296" s="114">
        <v>0.0562</v>
      </c>
      <c r="J296" s="113">
        <v>0</v>
      </c>
      <c r="K296" s="113">
        <v>0.0562</v>
      </c>
      <c r="L296" s="60">
        <f>+K296-((K296*0.4755*0.125)+(K296*(1-0.4755)*0.26))</f>
        <v>0.0451956185</v>
      </c>
      <c r="M296" s="60">
        <f t="shared" si="6"/>
        <v>0.0451956185</v>
      </c>
      <c r="N296" s="67" t="s">
        <v>248</v>
      </c>
      <c r="GP296" s="10"/>
      <c r="GQ296" s="10"/>
    </row>
    <row r="297" spans="1:199" ht="23.25" customHeight="1">
      <c r="A297" s="119" t="s">
        <v>181</v>
      </c>
      <c r="B297" s="12" t="s">
        <v>181</v>
      </c>
      <c r="C297" s="69" t="s">
        <v>335</v>
      </c>
      <c r="D297" s="12" t="s">
        <v>410</v>
      </c>
      <c r="E297" s="65">
        <v>44012</v>
      </c>
      <c r="F297" s="66">
        <v>44013</v>
      </c>
      <c r="G297" s="66">
        <v>44018</v>
      </c>
      <c r="H297" s="67">
        <v>0.045</v>
      </c>
      <c r="I297" s="114">
        <v>1.0031</v>
      </c>
      <c r="J297" s="113">
        <v>0</v>
      </c>
      <c r="K297" s="113">
        <v>1.0031</v>
      </c>
      <c r="L297" s="60">
        <f>+K297-((K297*0.4755*0.125)+(K297*(1-0.4755)*0.26))</f>
        <v>0.8066854967500001</v>
      </c>
      <c r="M297" s="60">
        <f t="shared" si="6"/>
        <v>0.8066854967500001</v>
      </c>
      <c r="N297" s="67" t="s">
        <v>248</v>
      </c>
      <c r="GP297" s="10"/>
      <c r="GQ297" s="10"/>
    </row>
    <row r="298" spans="1:199" ht="23.25" customHeight="1">
      <c r="A298" s="119" t="s">
        <v>201</v>
      </c>
      <c r="B298" s="12" t="s">
        <v>201</v>
      </c>
      <c r="C298" s="74" t="s">
        <v>336</v>
      </c>
      <c r="D298" s="12" t="s">
        <v>410</v>
      </c>
      <c r="E298" s="65">
        <v>44012</v>
      </c>
      <c r="F298" s="66">
        <v>44013</v>
      </c>
      <c r="G298" s="66">
        <v>44018</v>
      </c>
      <c r="H298" s="67">
        <v>0.045</v>
      </c>
      <c r="I298" s="114">
        <v>1.014</v>
      </c>
      <c r="J298" s="113">
        <v>0</v>
      </c>
      <c r="K298" s="113">
        <v>1.014</v>
      </c>
      <c r="L298" s="60">
        <f>+K298-((K298*0.4755*0.125)+(K298*(1-0.4755)*0.26))</f>
        <v>0.8154511950000001</v>
      </c>
      <c r="M298" s="60">
        <f t="shared" si="6"/>
        <v>0.8154511950000001</v>
      </c>
      <c r="N298" s="67" t="s">
        <v>248</v>
      </c>
      <c r="GP298" s="10"/>
      <c r="GQ298" s="10"/>
    </row>
    <row r="299" spans="1:199" ht="23.25" customHeight="1">
      <c r="A299" s="119" t="s">
        <v>88</v>
      </c>
      <c r="B299" s="12" t="s">
        <v>138</v>
      </c>
      <c r="C299" s="64" t="s">
        <v>337</v>
      </c>
      <c r="D299" s="12" t="s">
        <v>410</v>
      </c>
      <c r="E299" s="65">
        <v>44012</v>
      </c>
      <c r="F299" s="66">
        <v>44013</v>
      </c>
      <c r="G299" s="66">
        <v>44018</v>
      </c>
      <c r="H299" s="70">
        <v>0.05</v>
      </c>
      <c r="I299" s="114">
        <v>0.0788</v>
      </c>
      <c r="J299" s="113">
        <v>0</v>
      </c>
      <c r="K299" s="113">
        <v>0.0788</v>
      </c>
      <c r="L299" s="60">
        <f>+K299-((K299*0.3017*0.125)+(K299*(1-0.089)*0.26))</f>
        <v>0.05716368699999999</v>
      </c>
      <c r="M299" s="60">
        <f t="shared" si="6"/>
        <v>0.05716368699999999</v>
      </c>
      <c r="N299" s="73" t="s">
        <v>248</v>
      </c>
      <c r="GP299" s="10"/>
      <c r="GQ299" s="10"/>
    </row>
    <row r="300" spans="1:199" ht="23.25" customHeight="1">
      <c r="A300" s="119" t="s">
        <v>13</v>
      </c>
      <c r="B300" s="12" t="s">
        <v>160</v>
      </c>
      <c r="C300" s="69" t="s">
        <v>338</v>
      </c>
      <c r="D300" s="12" t="s">
        <v>410</v>
      </c>
      <c r="E300" s="65">
        <v>44012</v>
      </c>
      <c r="F300" s="66">
        <v>44013</v>
      </c>
      <c r="G300" s="66">
        <v>44018</v>
      </c>
      <c r="H300" s="70">
        <v>0.05</v>
      </c>
      <c r="I300" s="114">
        <v>0.0784</v>
      </c>
      <c r="J300" s="113">
        <v>0</v>
      </c>
      <c r="K300" s="113">
        <v>0.0784</v>
      </c>
      <c r="L300" s="60">
        <f>+K300-((K300*0.3017*0.125)+(K300*(1-0.089)*0.26))</f>
        <v>0.056873516</v>
      </c>
      <c r="M300" s="60">
        <f t="shared" si="6"/>
        <v>0.056873516</v>
      </c>
      <c r="N300" s="73" t="s">
        <v>248</v>
      </c>
      <c r="GP300" s="10"/>
      <c r="GQ300" s="10"/>
    </row>
    <row r="301" spans="1:199" ht="23.25" customHeight="1">
      <c r="A301" s="119"/>
      <c r="B301" s="12" t="s">
        <v>300</v>
      </c>
      <c r="C301" s="64" t="s">
        <v>404</v>
      </c>
      <c r="D301" s="12" t="s">
        <v>410</v>
      </c>
      <c r="E301" s="65">
        <v>44012</v>
      </c>
      <c r="F301" s="66">
        <v>44013</v>
      </c>
      <c r="G301" s="66">
        <v>44018</v>
      </c>
      <c r="H301" s="70">
        <v>0.05</v>
      </c>
      <c r="I301" s="114">
        <v>0.0615</v>
      </c>
      <c r="J301" s="113">
        <v>0</v>
      </c>
      <c r="K301" s="113">
        <v>0.0615</v>
      </c>
      <c r="L301" s="60">
        <f>+K301-((K301*0.3017*0.125)+(K301*(1-0.089)*0.26))</f>
        <v>0.04461379125</v>
      </c>
      <c r="M301" s="60">
        <f t="shared" si="6"/>
        <v>0.04461379125</v>
      </c>
      <c r="N301" s="67" t="s">
        <v>248</v>
      </c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42"/>
      <c r="GQ301" s="42"/>
    </row>
    <row r="302" spans="1:252" ht="23.25" customHeight="1">
      <c r="A302" s="119"/>
      <c r="B302" s="12" t="s">
        <v>310</v>
      </c>
      <c r="C302" s="64" t="s">
        <v>424</v>
      </c>
      <c r="D302" s="12" t="s">
        <v>411</v>
      </c>
      <c r="E302" s="65">
        <v>44012</v>
      </c>
      <c r="F302" s="66">
        <v>44013</v>
      </c>
      <c r="G302" s="66">
        <v>44018</v>
      </c>
      <c r="H302" s="70">
        <v>0.05</v>
      </c>
      <c r="I302" s="114">
        <v>0.0209</v>
      </c>
      <c r="J302" s="113">
        <v>0</v>
      </c>
      <c r="K302" s="113">
        <v>0.0209</v>
      </c>
      <c r="L302" s="60">
        <f>+K302-((K302*0.03783*0.125)+(K302*(1-0.089)*0.26))</f>
        <v>0.015850795124999997</v>
      </c>
      <c r="M302" s="60">
        <f t="shared" si="6"/>
        <v>0.015850795124999997</v>
      </c>
      <c r="N302" s="67" t="s">
        <v>251</v>
      </c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42"/>
      <c r="GQ302" s="42"/>
      <c r="IR302" s="10"/>
    </row>
    <row r="303" spans="1:252" ht="23.25" customHeight="1">
      <c r="A303" s="119" t="s">
        <v>188</v>
      </c>
      <c r="B303" s="12" t="s">
        <v>188</v>
      </c>
      <c r="C303" s="69" t="s">
        <v>339</v>
      </c>
      <c r="D303" s="12" t="s">
        <v>411</v>
      </c>
      <c r="E303" s="65">
        <v>44012</v>
      </c>
      <c r="F303" s="66">
        <v>44013</v>
      </c>
      <c r="G303" s="66">
        <v>44018</v>
      </c>
      <c r="H303" s="70">
        <v>0.05</v>
      </c>
      <c r="I303" s="114">
        <v>0.3655</v>
      </c>
      <c r="J303" s="113">
        <v>0</v>
      </c>
      <c r="K303" s="113">
        <v>0.3655</v>
      </c>
      <c r="L303" s="60">
        <f>+K303-((K303*0.03783*0.125)+(K303*(1-0.089)*0.26))</f>
        <v>0.277199311875</v>
      </c>
      <c r="M303" s="60">
        <f t="shared" si="6"/>
        <v>0.277199311875</v>
      </c>
      <c r="N303" s="67" t="s">
        <v>251</v>
      </c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42"/>
      <c r="GQ303" s="42"/>
      <c r="IR303" s="10"/>
    </row>
    <row r="304" spans="1:252" ht="23.25" customHeight="1">
      <c r="A304" s="119" t="s">
        <v>196</v>
      </c>
      <c r="B304" s="12" t="s">
        <v>196</v>
      </c>
      <c r="C304" s="74" t="s">
        <v>340</v>
      </c>
      <c r="D304" s="73" t="s">
        <v>411</v>
      </c>
      <c r="E304" s="65">
        <v>44012</v>
      </c>
      <c r="F304" s="66">
        <v>44013</v>
      </c>
      <c r="G304" s="66">
        <v>44018</v>
      </c>
      <c r="H304" s="70">
        <v>0.05</v>
      </c>
      <c r="I304" s="114">
        <v>0.3778</v>
      </c>
      <c r="J304" s="113">
        <v>0</v>
      </c>
      <c r="K304" s="113">
        <v>0.3778</v>
      </c>
      <c r="L304" s="60">
        <f>+K304-((K304*0.03783*0.125)+(K304*(1-0.089)*0.26))</f>
        <v>0.28652777025</v>
      </c>
      <c r="M304" s="60">
        <f t="shared" si="6"/>
        <v>0.28652777025</v>
      </c>
      <c r="N304" s="67" t="s">
        <v>251</v>
      </c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42"/>
      <c r="GQ304" s="42"/>
      <c r="IR304" s="10"/>
    </row>
    <row r="305" spans="1:14" ht="23.25" customHeight="1">
      <c r="A305" s="119" t="s">
        <v>87</v>
      </c>
      <c r="B305" s="12" t="s">
        <v>142</v>
      </c>
      <c r="C305" s="64" t="s">
        <v>341</v>
      </c>
      <c r="D305" s="12" t="s">
        <v>410</v>
      </c>
      <c r="E305" s="65">
        <v>44012</v>
      </c>
      <c r="F305" s="66">
        <v>44013</v>
      </c>
      <c r="G305" s="66">
        <v>44018</v>
      </c>
      <c r="H305" s="67">
        <v>0.0525</v>
      </c>
      <c r="I305" s="114">
        <v>0.0839</v>
      </c>
      <c r="J305" s="113">
        <v>0</v>
      </c>
      <c r="K305" s="113">
        <v>0.0839</v>
      </c>
      <c r="L305" s="60">
        <f>+K305-((K305*0.0016*0.125)+(K305*(1-0.0016)*0.26))</f>
        <v>0.0621041224</v>
      </c>
      <c r="M305" s="60">
        <f t="shared" si="6"/>
        <v>0.0621041224</v>
      </c>
      <c r="N305" s="73" t="s">
        <v>248</v>
      </c>
    </row>
    <row r="306" spans="1:14" ht="23.25" customHeight="1">
      <c r="A306" s="119" t="s">
        <v>14</v>
      </c>
      <c r="B306" s="12" t="s">
        <v>159</v>
      </c>
      <c r="C306" s="69" t="s">
        <v>342</v>
      </c>
      <c r="D306" s="12" t="s">
        <v>410</v>
      </c>
      <c r="E306" s="65">
        <v>44012</v>
      </c>
      <c r="F306" s="66">
        <v>44013</v>
      </c>
      <c r="G306" s="66">
        <v>44018</v>
      </c>
      <c r="H306" s="67">
        <v>0.0525</v>
      </c>
      <c r="I306" s="114">
        <v>0.0836</v>
      </c>
      <c r="J306" s="113">
        <v>0</v>
      </c>
      <c r="K306" s="113">
        <v>0.0836</v>
      </c>
      <c r="L306" s="60">
        <f>+K306-((K306*0.0016*0.125)+(K306*(1-0.0016)*0.26))</f>
        <v>0.0618820576</v>
      </c>
      <c r="M306" s="60">
        <f t="shared" si="6"/>
        <v>0.0618820576</v>
      </c>
      <c r="N306" s="73" t="s">
        <v>248</v>
      </c>
    </row>
    <row r="307" spans="1:14" ht="23.25" customHeight="1">
      <c r="A307" s="119"/>
      <c r="B307" s="12" t="s">
        <v>510</v>
      </c>
      <c r="C307" s="69" t="s">
        <v>511</v>
      </c>
      <c r="D307" s="12" t="s">
        <v>410</v>
      </c>
      <c r="E307" s="65">
        <v>44012</v>
      </c>
      <c r="F307" s="66">
        <v>44013</v>
      </c>
      <c r="G307" s="66">
        <v>44018</v>
      </c>
      <c r="H307" s="67">
        <v>0.0525</v>
      </c>
      <c r="I307" s="114">
        <v>0.0658</v>
      </c>
      <c r="J307" s="113">
        <v>0</v>
      </c>
      <c r="K307" s="113">
        <v>0.0658</v>
      </c>
      <c r="L307" s="60">
        <f>+K307-((K307*0.0016*0.125)+(K307*(1-0.0016)*0.26))</f>
        <v>0.048706212799999996</v>
      </c>
      <c r="M307" s="60">
        <f t="shared" si="6"/>
        <v>0.048706212799999996</v>
      </c>
      <c r="N307" s="73" t="s">
        <v>248</v>
      </c>
    </row>
    <row r="308" spans="1:14" ht="23.25" customHeight="1">
      <c r="A308" s="119" t="s">
        <v>89</v>
      </c>
      <c r="B308" s="12" t="s">
        <v>139</v>
      </c>
      <c r="C308" s="64" t="s">
        <v>344</v>
      </c>
      <c r="D308" s="12" t="s">
        <v>410</v>
      </c>
      <c r="E308" s="65">
        <v>44012</v>
      </c>
      <c r="F308" s="66">
        <v>44013</v>
      </c>
      <c r="G308" s="66">
        <v>44018</v>
      </c>
      <c r="H308" s="67">
        <v>0.035</v>
      </c>
      <c r="I308" s="114">
        <v>0.0418</v>
      </c>
      <c r="J308" s="113">
        <v>0</v>
      </c>
      <c r="K308" s="113">
        <v>0.0418</v>
      </c>
      <c r="L308" s="60">
        <f>+K308-((K308*0.7742*0.125)+(K308*(1-0.7742)*0.26))</f>
        <v>0.035300810599999996</v>
      </c>
      <c r="M308" s="60">
        <f t="shared" si="6"/>
        <v>0.035300810599999996</v>
      </c>
      <c r="N308" s="73" t="s">
        <v>248</v>
      </c>
    </row>
    <row r="309" spans="1:14" ht="23.25" customHeight="1">
      <c r="A309" s="119" t="s">
        <v>15</v>
      </c>
      <c r="B309" s="12" t="s">
        <v>161</v>
      </c>
      <c r="C309" s="69" t="s">
        <v>345</v>
      </c>
      <c r="D309" s="12" t="s">
        <v>410</v>
      </c>
      <c r="E309" s="65">
        <v>44012</v>
      </c>
      <c r="F309" s="66">
        <v>44013</v>
      </c>
      <c r="G309" s="66">
        <v>44018</v>
      </c>
      <c r="H309" s="67">
        <v>0.035</v>
      </c>
      <c r="I309" s="114">
        <v>0.0417</v>
      </c>
      <c r="J309" s="113">
        <v>0</v>
      </c>
      <c r="K309" s="113">
        <v>0.0417</v>
      </c>
      <c r="L309" s="60">
        <f>+K309-((K309*0.7742*0.125)+(K309*(1-0.7742)*0.26))</f>
        <v>0.0352163589</v>
      </c>
      <c r="M309" s="60">
        <f t="shared" si="6"/>
        <v>0.0352163589</v>
      </c>
      <c r="N309" s="73" t="s">
        <v>248</v>
      </c>
    </row>
    <row r="310" spans="1:14" ht="23.25" customHeight="1">
      <c r="A310" s="119" t="s">
        <v>229</v>
      </c>
      <c r="B310" s="12" t="s">
        <v>191</v>
      </c>
      <c r="C310" s="69" t="s">
        <v>346</v>
      </c>
      <c r="D310" s="12" t="s">
        <v>411</v>
      </c>
      <c r="E310" s="65">
        <v>44012</v>
      </c>
      <c r="F310" s="66">
        <v>44013</v>
      </c>
      <c r="G310" s="66">
        <v>44018</v>
      </c>
      <c r="H310" s="67">
        <v>0.035</v>
      </c>
      <c r="I310" s="114">
        <v>0.0147</v>
      </c>
      <c r="J310" s="113">
        <v>0</v>
      </c>
      <c r="K310" s="113">
        <v>0.0147</v>
      </c>
      <c r="L310" s="60">
        <f>+K310-((K310*0.7742*0.125)+(K310*(1-0.7742)*0.26))</f>
        <v>0.0124143999</v>
      </c>
      <c r="M310" s="60">
        <f t="shared" si="6"/>
        <v>0.0124143999</v>
      </c>
      <c r="N310" s="67" t="s">
        <v>251</v>
      </c>
    </row>
    <row r="311" spans="1:14" ht="23.25" customHeight="1">
      <c r="A311" s="119" t="s">
        <v>231</v>
      </c>
      <c r="B311" s="12" t="s">
        <v>199</v>
      </c>
      <c r="C311" s="74" t="s">
        <v>347</v>
      </c>
      <c r="D311" s="73" t="s">
        <v>411</v>
      </c>
      <c r="E311" s="65">
        <v>44012</v>
      </c>
      <c r="F311" s="66">
        <v>44013</v>
      </c>
      <c r="G311" s="66">
        <v>44018</v>
      </c>
      <c r="H311" s="67">
        <v>0.035</v>
      </c>
      <c r="I311" s="114">
        <v>0.0147</v>
      </c>
      <c r="J311" s="113">
        <v>0</v>
      </c>
      <c r="K311" s="113">
        <v>0.0147</v>
      </c>
      <c r="L311" s="60">
        <f>+K311-((K311*0.7742*0.125)+(K311*(1-0.7742)*0.26))</f>
        <v>0.0124143999</v>
      </c>
      <c r="M311" s="60">
        <f t="shared" si="6"/>
        <v>0.0124143999</v>
      </c>
      <c r="N311" s="67" t="s">
        <v>251</v>
      </c>
    </row>
    <row r="312" spans="1:14" ht="23.25" customHeight="1">
      <c r="A312" s="119" t="s">
        <v>91</v>
      </c>
      <c r="B312" s="12" t="s">
        <v>141</v>
      </c>
      <c r="C312" s="64" t="s">
        <v>348</v>
      </c>
      <c r="D312" s="12" t="s">
        <v>410</v>
      </c>
      <c r="E312" s="65">
        <v>44012</v>
      </c>
      <c r="F312" s="66">
        <v>44013</v>
      </c>
      <c r="G312" s="66">
        <v>44018</v>
      </c>
      <c r="H312" s="67">
        <v>0.0425</v>
      </c>
      <c r="I312" s="114">
        <v>0.0517</v>
      </c>
      <c r="J312" s="113">
        <v>0</v>
      </c>
      <c r="K312" s="113">
        <v>0.0517</v>
      </c>
      <c r="L312" s="60">
        <f>+K312-((K312*0.082*0.125)+(K312*(1-0.082)*0.26))</f>
        <v>0.038830319</v>
      </c>
      <c r="M312" s="60">
        <f t="shared" si="6"/>
        <v>0.038830319</v>
      </c>
      <c r="N312" s="73" t="s">
        <v>248</v>
      </c>
    </row>
    <row r="313" spans="1:14" ht="26.25" customHeight="1">
      <c r="A313" s="119" t="s">
        <v>90</v>
      </c>
      <c r="B313" s="12" t="s">
        <v>140</v>
      </c>
      <c r="C313" s="64" t="s">
        <v>349</v>
      </c>
      <c r="D313" s="12" t="s">
        <v>410</v>
      </c>
      <c r="E313" s="65">
        <v>44012</v>
      </c>
      <c r="F313" s="66">
        <v>44013</v>
      </c>
      <c r="G313" s="66">
        <v>44018</v>
      </c>
      <c r="H313" s="67">
        <v>0.0425</v>
      </c>
      <c r="I313" s="114">
        <v>0.0567</v>
      </c>
      <c r="J313" s="113">
        <v>0</v>
      </c>
      <c r="K313" s="113">
        <v>0.0567</v>
      </c>
      <c r="L313" s="60">
        <f>+K313-((K313*0.082*0.125)+(K313*(1-0.082)*0.26))</f>
        <v>0.042585669</v>
      </c>
      <c r="M313" s="60">
        <f t="shared" si="6"/>
        <v>0.042585669</v>
      </c>
      <c r="N313" s="73" t="s">
        <v>248</v>
      </c>
    </row>
    <row r="314" spans="1:14" ht="23.25" customHeight="1">
      <c r="A314" s="119" t="s">
        <v>17</v>
      </c>
      <c r="B314" s="12" t="s">
        <v>162</v>
      </c>
      <c r="C314" s="69" t="s">
        <v>350</v>
      </c>
      <c r="D314" s="12" t="s">
        <v>410</v>
      </c>
      <c r="E314" s="65">
        <v>44012</v>
      </c>
      <c r="F314" s="66">
        <v>44013</v>
      </c>
      <c r="G314" s="66">
        <v>44018</v>
      </c>
      <c r="H314" s="67">
        <v>0.0425</v>
      </c>
      <c r="I314" s="114">
        <v>0.0565</v>
      </c>
      <c r="J314" s="113">
        <v>0</v>
      </c>
      <c r="K314" s="113">
        <v>0.0565</v>
      </c>
      <c r="L314" s="60">
        <f>+K314-((K314*0.082*0.125)+(K314*(1-0.082)*0.26))</f>
        <v>0.042435455</v>
      </c>
      <c r="M314" s="60">
        <f t="shared" si="6"/>
        <v>0.042435455</v>
      </c>
      <c r="N314" s="73" t="s">
        <v>248</v>
      </c>
    </row>
    <row r="315" spans="1:199" ht="23.25" customHeight="1">
      <c r="A315" s="119"/>
      <c r="B315" s="12" t="s">
        <v>302</v>
      </c>
      <c r="C315" s="64" t="s">
        <v>405</v>
      </c>
      <c r="D315" s="12" t="s">
        <v>410</v>
      </c>
      <c r="E315" s="65">
        <v>44012</v>
      </c>
      <c r="F315" s="66">
        <v>44013</v>
      </c>
      <c r="G315" s="66">
        <v>44018</v>
      </c>
      <c r="H315" s="67">
        <v>0.0425</v>
      </c>
      <c r="I315" s="114">
        <v>0.0538</v>
      </c>
      <c r="J315" s="113">
        <v>0</v>
      </c>
      <c r="K315" s="113">
        <v>0.0538</v>
      </c>
      <c r="L315" s="60">
        <f>+K315-((K315*0.082*0.125)+(K315*(1-0.082)*0.26))</f>
        <v>0.040407566</v>
      </c>
      <c r="M315" s="60">
        <f t="shared" si="6"/>
        <v>0.040407566</v>
      </c>
      <c r="N315" s="67" t="s">
        <v>248</v>
      </c>
      <c r="GP315" s="10"/>
      <c r="GQ315" s="10"/>
    </row>
    <row r="316" spans="1:199" ht="23.25" customHeight="1">
      <c r="A316" s="119"/>
      <c r="B316" s="12" t="s">
        <v>303</v>
      </c>
      <c r="C316" s="64" t="s">
        <v>406</v>
      </c>
      <c r="D316" s="12" t="s">
        <v>410</v>
      </c>
      <c r="E316" s="65">
        <v>44012</v>
      </c>
      <c r="F316" s="66">
        <v>44013</v>
      </c>
      <c r="G316" s="66">
        <v>44018</v>
      </c>
      <c r="H316" s="67">
        <v>0.0425</v>
      </c>
      <c r="I316" s="114">
        <v>0.0532</v>
      </c>
      <c r="J316" s="113">
        <v>0</v>
      </c>
      <c r="K316" s="113">
        <v>0.0532</v>
      </c>
      <c r="L316" s="60">
        <f>+K316-((K316*0.082*0.125)+(K316*(1-0.082)*0.26))</f>
        <v>0.039956924</v>
      </c>
      <c r="M316" s="60">
        <f t="shared" si="6"/>
        <v>0.039956924</v>
      </c>
      <c r="N316" s="67" t="s">
        <v>248</v>
      </c>
      <c r="GP316" s="10"/>
      <c r="GQ316" s="10"/>
    </row>
    <row r="317" spans="1:199" ht="23.25" customHeight="1">
      <c r="A317" s="119" t="s">
        <v>92</v>
      </c>
      <c r="B317" s="12" t="s">
        <v>143</v>
      </c>
      <c r="C317" s="64" t="s">
        <v>351</v>
      </c>
      <c r="D317" s="12" t="s">
        <v>410</v>
      </c>
      <c r="E317" s="65">
        <v>44012</v>
      </c>
      <c r="F317" s="66">
        <v>44013</v>
      </c>
      <c r="G317" s="66">
        <v>44018</v>
      </c>
      <c r="H317" s="67">
        <v>0.004</v>
      </c>
      <c r="I317" s="114">
        <v>0.0051</v>
      </c>
      <c r="J317" s="113">
        <v>0</v>
      </c>
      <c r="K317" s="113">
        <v>0.0051</v>
      </c>
      <c r="L317" s="60">
        <f>+K317-((K317*0.5914*0.125)+(K317*(1-0.5914)*0.26))</f>
        <v>0.0041811789000000005</v>
      </c>
      <c r="M317" s="60">
        <f t="shared" si="6"/>
        <v>0.0041811789000000005</v>
      </c>
      <c r="N317" s="73" t="s">
        <v>248</v>
      </c>
      <c r="GP317" s="10"/>
      <c r="GQ317" s="10"/>
    </row>
    <row r="318" spans="1:199" ht="26.25" customHeight="1">
      <c r="A318" s="119" t="s">
        <v>94</v>
      </c>
      <c r="B318" s="12" t="s">
        <v>145</v>
      </c>
      <c r="C318" s="64" t="s">
        <v>352</v>
      </c>
      <c r="D318" s="12" t="s">
        <v>410</v>
      </c>
      <c r="E318" s="65">
        <v>44012</v>
      </c>
      <c r="F318" s="66">
        <v>44013</v>
      </c>
      <c r="G318" s="66">
        <v>44018</v>
      </c>
      <c r="H318" s="67">
        <v>0.0045</v>
      </c>
      <c r="I318" s="114">
        <v>0.0058</v>
      </c>
      <c r="J318" s="113">
        <v>0</v>
      </c>
      <c r="K318" s="113">
        <v>0.0058</v>
      </c>
      <c r="L318" s="60">
        <f>+K318-((K318*0.0006*0.125)+(K318*(1-0.0006)*0.26))</f>
        <v>0.0042924697999999996</v>
      </c>
      <c r="M318" s="60">
        <f t="shared" si="6"/>
        <v>0.0042924697999999996</v>
      </c>
      <c r="N318" s="73" t="s">
        <v>248</v>
      </c>
      <c r="GP318" s="10"/>
      <c r="GQ318" s="10"/>
    </row>
    <row r="319" spans="1:14" ht="23.25" customHeight="1">
      <c r="A319" s="119" t="s">
        <v>93</v>
      </c>
      <c r="B319" s="12" t="s">
        <v>144</v>
      </c>
      <c r="C319" s="64" t="s">
        <v>353</v>
      </c>
      <c r="D319" s="12" t="s">
        <v>410</v>
      </c>
      <c r="E319" s="65">
        <v>44012</v>
      </c>
      <c r="F319" s="66">
        <v>44013</v>
      </c>
      <c r="G319" s="66">
        <v>44018</v>
      </c>
      <c r="H319" s="67">
        <v>0.002</v>
      </c>
      <c r="I319" s="114">
        <v>0.0025</v>
      </c>
      <c r="J319" s="113">
        <v>0</v>
      </c>
      <c r="K319" s="113">
        <v>0.0025</v>
      </c>
      <c r="L319" s="60">
        <f>+K319-((K319*0.9352*0.125)+(K319*(1-0.9352)*0.26))</f>
        <v>0.00216563</v>
      </c>
      <c r="M319" s="60">
        <f t="shared" si="6"/>
        <v>0.00216563</v>
      </c>
      <c r="N319" s="73" t="s">
        <v>248</v>
      </c>
    </row>
    <row r="320" spans="1:14" ht="23.25" customHeight="1">
      <c r="A320" s="119"/>
      <c r="B320" s="12" t="s">
        <v>306</v>
      </c>
      <c r="C320" s="64" t="s">
        <v>430</v>
      </c>
      <c r="D320" s="12" t="s">
        <v>411</v>
      </c>
      <c r="E320" s="65">
        <v>44012</v>
      </c>
      <c r="F320" s="66">
        <v>44013</v>
      </c>
      <c r="G320" s="66">
        <v>44018</v>
      </c>
      <c r="H320" s="67">
        <v>0.02</v>
      </c>
      <c r="I320" s="114">
        <v>0.0084</v>
      </c>
      <c r="J320" s="113">
        <v>0</v>
      </c>
      <c r="K320" s="113">
        <v>0.0084</v>
      </c>
      <c r="L320" s="60">
        <f aca="true" t="shared" si="7" ref="L320:L325">+K320-((K320*0.0000001*0.125)+(K320*(1-0.0000001)*0.26))</f>
        <v>0.0062160001134</v>
      </c>
      <c r="M320" s="60">
        <f t="shared" si="6"/>
        <v>0.0062160001134</v>
      </c>
      <c r="N320" s="67" t="s">
        <v>251</v>
      </c>
    </row>
    <row r="321" spans="1:14" ht="23.25" customHeight="1">
      <c r="A321" s="119" t="s">
        <v>184</v>
      </c>
      <c r="B321" s="12" t="s">
        <v>184</v>
      </c>
      <c r="C321" s="69" t="s">
        <v>354</v>
      </c>
      <c r="D321" s="12" t="s">
        <v>411</v>
      </c>
      <c r="E321" s="65">
        <v>44012</v>
      </c>
      <c r="F321" s="66">
        <v>44013</v>
      </c>
      <c r="G321" s="66">
        <v>44018</v>
      </c>
      <c r="H321" s="67">
        <v>0.02</v>
      </c>
      <c r="I321" s="114">
        <v>0.1688</v>
      </c>
      <c r="J321" s="113">
        <v>0</v>
      </c>
      <c r="K321" s="113">
        <v>0.1688</v>
      </c>
      <c r="L321" s="60">
        <f t="shared" si="7"/>
        <v>0.1249120022788</v>
      </c>
      <c r="M321" s="60">
        <f t="shared" si="6"/>
        <v>0.1249120022788</v>
      </c>
      <c r="N321" s="67" t="s">
        <v>251</v>
      </c>
    </row>
    <row r="322" spans="1:14" ht="23.25" customHeight="1">
      <c r="A322" s="119" t="s">
        <v>192</v>
      </c>
      <c r="B322" s="12" t="s">
        <v>192</v>
      </c>
      <c r="C322" s="74" t="s">
        <v>355</v>
      </c>
      <c r="D322" s="73" t="s">
        <v>411</v>
      </c>
      <c r="E322" s="65">
        <v>44012</v>
      </c>
      <c r="F322" s="66">
        <v>44013</v>
      </c>
      <c r="G322" s="66">
        <v>44018</v>
      </c>
      <c r="H322" s="67">
        <v>0.02</v>
      </c>
      <c r="I322" s="114">
        <v>0.1698</v>
      </c>
      <c r="J322" s="113">
        <v>0</v>
      </c>
      <c r="K322" s="113">
        <v>0.1698</v>
      </c>
      <c r="L322" s="60">
        <f t="shared" si="7"/>
        <v>0.1256520022923</v>
      </c>
      <c r="M322" s="60">
        <f t="shared" si="6"/>
        <v>0.1256520022923</v>
      </c>
      <c r="N322" s="67" t="s">
        <v>251</v>
      </c>
    </row>
    <row r="323" spans="1:199" ht="23.25" customHeight="1">
      <c r="A323" s="119"/>
      <c r="B323" s="12" t="s">
        <v>311</v>
      </c>
      <c r="C323" s="64" t="s">
        <v>425</v>
      </c>
      <c r="D323" s="12" t="s">
        <v>411</v>
      </c>
      <c r="E323" s="65">
        <v>44012</v>
      </c>
      <c r="F323" s="66">
        <v>44013</v>
      </c>
      <c r="G323" s="66">
        <v>44018</v>
      </c>
      <c r="H323" s="67">
        <v>0.01</v>
      </c>
      <c r="I323" s="114">
        <v>0.0042</v>
      </c>
      <c r="J323" s="113">
        <v>0</v>
      </c>
      <c r="K323" s="113">
        <v>0.0042</v>
      </c>
      <c r="L323" s="60">
        <f t="shared" si="7"/>
        <v>0.0031080000567</v>
      </c>
      <c r="M323" s="60">
        <f t="shared" si="6"/>
        <v>0.0031080000567</v>
      </c>
      <c r="N323" s="67" t="s">
        <v>251</v>
      </c>
      <c r="GP323" s="10"/>
      <c r="GQ323" s="10"/>
    </row>
    <row r="324" spans="1:14" ht="23.25" customHeight="1">
      <c r="A324" s="119" t="s">
        <v>189</v>
      </c>
      <c r="B324" s="12" t="s">
        <v>189</v>
      </c>
      <c r="C324" s="69" t="s">
        <v>356</v>
      </c>
      <c r="D324" s="12" t="s">
        <v>411</v>
      </c>
      <c r="E324" s="65">
        <v>44012</v>
      </c>
      <c r="F324" s="66">
        <v>44013</v>
      </c>
      <c r="G324" s="66">
        <v>44018</v>
      </c>
      <c r="H324" s="67">
        <v>0.01</v>
      </c>
      <c r="I324" s="114">
        <v>0.0763</v>
      </c>
      <c r="J324" s="113">
        <v>0</v>
      </c>
      <c r="K324" s="113">
        <v>0.0763</v>
      </c>
      <c r="L324" s="60">
        <f t="shared" si="7"/>
        <v>0.05646200103005</v>
      </c>
      <c r="M324" s="60">
        <f t="shared" si="6"/>
        <v>0.05646200103005</v>
      </c>
      <c r="N324" s="67" t="s">
        <v>251</v>
      </c>
    </row>
    <row r="325" spans="1:199" ht="23.25" customHeight="1">
      <c r="A325" s="119" t="s">
        <v>197</v>
      </c>
      <c r="B325" s="12" t="s">
        <v>197</v>
      </c>
      <c r="C325" s="74" t="s">
        <v>357</v>
      </c>
      <c r="D325" s="73" t="s">
        <v>411</v>
      </c>
      <c r="E325" s="65">
        <v>44012</v>
      </c>
      <c r="F325" s="66">
        <v>44013</v>
      </c>
      <c r="G325" s="66">
        <v>44018</v>
      </c>
      <c r="H325" s="67">
        <v>0.01</v>
      </c>
      <c r="I325" s="114">
        <v>0.0774</v>
      </c>
      <c r="J325" s="113">
        <v>0</v>
      </c>
      <c r="K325" s="113">
        <v>0.0774</v>
      </c>
      <c r="L325" s="60">
        <f t="shared" si="7"/>
        <v>0.05727600104489999</v>
      </c>
      <c r="M325" s="60">
        <f t="shared" si="6"/>
        <v>0.05727600104489999</v>
      </c>
      <c r="N325" s="67" t="s">
        <v>251</v>
      </c>
      <c r="GP325" s="10"/>
      <c r="GQ325" s="10"/>
    </row>
    <row r="326" spans="1:199" ht="23.25" customHeight="1">
      <c r="A326" s="119" t="s">
        <v>97</v>
      </c>
      <c r="B326" s="12" t="s">
        <v>148</v>
      </c>
      <c r="C326" s="64" t="s">
        <v>362</v>
      </c>
      <c r="D326" s="12" t="s">
        <v>410</v>
      </c>
      <c r="E326" s="65">
        <v>44012</v>
      </c>
      <c r="F326" s="66">
        <v>44013</v>
      </c>
      <c r="G326" s="66">
        <v>44018</v>
      </c>
      <c r="H326" s="67">
        <v>0.015</v>
      </c>
      <c r="I326" s="114">
        <v>0.0199</v>
      </c>
      <c r="J326" s="113">
        <v>0</v>
      </c>
      <c r="K326" s="113">
        <v>0.0199</v>
      </c>
      <c r="L326" s="60">
        <f>+K326-((K326*0.4996*0.125)+(K326*(1-0.4996)*0.26))</f>
        <v>0.016068175400000002</v>
      </c>
      <c r="M326" s="60">
        <f aca="true" t="shared" si="8" ref="M326:M389">J326+L326</f>
        <v>0.016068175400000002</v>
      </c>
      <c r="N326" s="73" t="s">
        <v>248</v>
      </c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</row>
    <row r="327" spans="1:199" ht="23.25" customHeight="1">
      <c r="A327" s="119"/>
      <c r="B327" s="12" t="s">
        <v>308</v>
      </c>
      <c r="C327" s="64" t="s">
        <v>426</v>
      </c>
      <c r="D327" s="12" t="s">
        <v>411</v>
      </c>
      <c r="E327" s="65">
        <v>44012</v>
      </c>
      <c r="F327" s="66">
        <v>44013</v>
      </c>
      <c r="G327" s="66">
        <v>44018</v>
      </c>
      <c r="H327" s="67">
        <v>0.015</v>
      </c>
      <c r="I327" s="114">
        <v>0.0062</v>
      </c>
      <c r="J327" s="113">
        <v>0</v>
      </c>
      <c r="K327" s="113">
        <v>0.0062</v>
      </c>
      <c r="L327" s="60">
        <f>+K327-((K327*0.4996*0.125)+(K327*(1-0.4996)*0.26))</f>
        <v>0.0050061652</v>
      </c>
      <c r="M327" s="60">
        <f t="shared" si="8"/>
        <v>0.0050061652</v>
      </c>
      <c r="N327" s="67" t="s">
        <v>251</v>
      </c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</row>
    <row r="328" spans="1:14" ht="23.25" customHeight="1">
      <c r="A328" s="119" t="s">
        <v>186</v>
      </c>
      <c r="B328" s="12" t="s">
        <v>186</v>
      </c>
      <c r="C328" s="69" t="s">
        <v>363</v>
      </c>
      <c r="D328" s="12" t="s">
        <v>411</v>
      </c>
      <c r="E328" s="65">
        <v>44012</v>
      </c>
      <c r="F328" s="66">
        <v>44013</v>
      </c>
      <c r="G328" s="66">
        <v>44018</v>
      </c>
      <c r="H328" s="67">
        <v>0.015</v>
      </c>
      <c r="I328" s="114">
        <v>0.114</v>
      </c>
      <c r="J328" s="113">
        <v>0</v>
      </c>
      <c r="K328" s="113">
        <v>0.114</v>
      </c>
      <c r="L328" s="60">
        <f>+K328-((K328*0.4996*0.125)+(K328*(1-0.4996)*0.26))</f>
        <v>0.092048844</v>
      </c>
      <c r="M328" s="60">
        <f t="shared" si="8"/>
        <v>0.092048844</v>
      </c>
      <c r="N328" s="67" t="s">
        <v>251</v>
      </c>
    </row>
    <row r="329" spans="1:199" ht="23.25" customHeight="1">
      <c r="A329" s="119" t="s">
        <v>194</v>
      </c>
      <c r="B329" s="12" t="s">
        <v>194</v>
      </c>
      <c r="C329" s="74" t="s">
        <v>364</v>
      </c>
      <c r="D329" s="73" t="s">
        <v>411</v>
      </c>
      <c r="E329" s="65">
        <v>44012</v>
      </c>
      <c r="F329" s="66">
        <v>44013</v>
      </c>
      <c r="G329" s="66">
        <v>44018</v>
      </c>
      <c r="H329" s="67">
        <v>0.015</v>
      </c>
      <c r="I329" s="114">
        <v>0.1168</v>
      </c>
      <c r="J329" s="113">
        <v>0</v>
      </c>
      <c r="K329" s="113">
        <v>0.1168</v>
      </c>
      <c r="L329" s="60">
        <f>+K329-((K329*0.4996*0.125)+(K329*(1-0.4996)*0.26))</f>
        <v>0.0943096928</v>
      </c>
      <c r="M329" s="60">
        <f t="shared" si="8"/>
        <v>0.0943096928</v>
      </c>
      <c r="N329" s="67" t="s">
        <v>251</v>
      </c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</row>
    <row r="330" spans="1:199" ht="23.25" customHeight="1">
      <c r="A330" s="119" t="s">
        <v>200</v>
      </c>
      <c r="B330" s="12" t="s">
        <v>200</v>
      </c>
      <c r="C330" s="74" t="s">
        <v>365</v>
      </c>
      <c r="D330" s="12" t="s">
        <v>410</v>
      </c>
      <c r="E330" s="65">
        <v>44012</v>
      </c>
      <c r="F330" s="66">
        <v>44013</v>
      </c>
      <c r="G330" s="66">
        <v>44018</v>
      </c>
      <c r="H330" s="67">
        <v>0.015</v>
      </c>
      <c r="I330" s="114">
        <v>0.3704</v>
      </c>
      <c r="J330" s="113">
        <v>0</v>
      </c>
      <c r="K330" s="113">
        <v>0.3704</v>
      </c>
      <c r="L330" s="60">
        <f>+K330-((K330*0.4996*0.125)+(K330*(1-0.4996)*0.26))</f>
        <v>0.29907799840000004</v>
      </c>
      <c r="M330" s="60">
        <f t="shared" si="8"/>
        <v>0.29907799840000004</v>
      </c>
      <c r="N330" s="67" t="s">
        <v>248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</row>
    <row r="331" spans="1:199" ht="23.25" customHeight="1">
      <c r="A331" s="119"/>
      <c r="B331" s="12" t="s">
        <v>307</v>
      </c>
      <c r="C331" s="64" t="s">
        <v>420</v>
      </c>
      <c r="D331" s="12" t="s">
        <v>411</v>
      </c>
      <c r="E331" s="65">
        <v>44012</v>
      </c>
      <c r="F331" s="66">
        <v>44013</v>
      </c>
      <c r="G331" s="66">
        <v>44018</v>
      </c>
      <c r="H331" s="67">
        <v>0.015</v>
      </c>
      <c r="I331" s="114">
        <v>0.0062</v>
      </c>
      <c r="J331" s="113">
        <v>0</v>
      </c>
      <c r="K331" s="113">
        <v>0.0062</v>
      </c>
      <c r="L331" s="60">
        <f>+K331-((K331*0.619*0.125)+(K331*(1-0.619)*0.26))</f>
        <v>0.005106103</v>
      </c>
      <c r="M331" s="60">
        <f t="shared" si="8"/>
        <v>0.005106103</v>
      </c>
      <c r="N331" s="67" t="s">
        <v>251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</row>
    <row r="332" spans="1:199" ht="23.25" customHeight="1">
      <c r="A332" s="119" t="s">
        <v>185</v>
      </c>
      <c r="B332" s="12" t="s">
        <v>185</v>
      </c>
      <c r="C332" s="69" t="s">
        <v>366</v>
      </c>
      <c r="D332" s="12" t="s">
        <v>411</v>
      </c>
      <c r="E332" s="65">
        <v>44012</v>
      </c>
      <c r="F332" s="66">
        <v>44013</v>
      </c>
      <c r="G332" s="66">
        <v>44018</v>
      </c>
      <c r="H332" s="67">
        <v>0.015</v>
      </c>
      <c r="I332" s="114">
        <v>0.1039</v>
      </c>
      <c r="J332" s="113">
        <v>0</v>
      </c>
      <c r="K332" s="113">
        <v>0.1039</v>
      </c>
      <c r="L332" s="60">
        <f>+K332-((K332*0.619*0.125)+(K332*(1-0.619)*0.26))</f>
        <v>0.0855684035</v>
      </c>
      <c r="M332" s="60">
        <f t="shared" si="8"/>
        <v>0.0855684035</v>
      </c>
      <c r="N332" s="67" t="s">
        <v>251</v>
      </c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</row>
    <row r="333" spans="1:199" ht="23.25" customHeight="1">
      <c r="A333" s="119" t="s">
        <v>193</v>
      </c>
      <c r="B333" s="12" t="s">
        <v>193</v>
      </c>
      <c r="C333" s="74" t="s">
        <v>367</v>
      </c>
      <c r="D333" s="73" t="s">
        <v>411</v>
      </c>
      <c r="E333" s="65">
        <v>44012</v>
      </c>
      <c r="F333" s="66">
        <v>44013</v>
      </c>
      <c r="G333" s="66">
        <v>44018</v>
      </c>
      <c r="H333" s="67">
        <v>0.015</v>
      </c>
      <c r="I333" s="114">
        <v>0.1009</v>
      </c>
      <c r="J333" s="113">
        <v>0</v>
      </c>
      <c r="K333" s="113">
        <v>0.1009</v>
      </c>
      <c r="L333" s="60">
        <f>+K333-((K333*0.619*0.125)+(K333*(1-0.619)*0.26))</f>
        <v>0.0830977085</v>
      </c>
      <c r="M333" s="60">
        <f t="shared" si="8"/>
        <v>0.0830977085</v>
      </c>
      <c r="N333" s="67" t="s">
        <v>251</v>
      </c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</row>
    <row r="334" spans="1:199" ht="23.25" customHeight="1">
      <c r="A334" s="119"/>
      <c r="B334" s="12" t="s">
        <v>309</v>
      </c>
      <c r="C334" s="64" t="s">
        <v>427</v>
      </c>
      <c r="D334" s="12" t="s">
        <v>411</v>
      </c>
      <c r="E334" s="65">
        <v>44012</v>
      </c>
      <c r="F334" s="66">
        <v>44013</v>
      </c>
      <c r="G334" s="66">
        <v>44018</v>
      </c>
      <c r="H334" s="67">
        <v>0.035</v>
      </c>
      <c r="I334" s="114">
        <v>0.0145</v>
      </c>
      <c r="J334" s="113">
        <v>0</v>
      </c>
      <c r="K334" s="113">
        <v>0.0145</v>
      </c>
      <c r="L334" s="60">
        <f>+K334-((K334*0.0000001*0.125)+(K334*(1-0.0000001)*0.26))</f>
        <v>0.01073000019575</v>
      </c>
      <c r="M334" s="60">
        <f t="shared" si="8"/>
        <v>0.01073000019575</v>
      </c>
      <c r="N334" s="67" t="s">
        <v>251</v>
      </c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</row>
    <row r="335" spans="1:199" ht="23.25" customHeight="1">
      <c r="A335" s="119" t="s">
        <v>187</v>
      </c>
      <c r="B335" s="12" t="s">
        <v>187</v>
      </c>
      <c r="C335" s="69" t="s">
        <v>368</v>
      </c>
      <c r="D335" s="12" t="s">
        <v>411</v>
      </c>
      <c r="E335" s="65">
        <v>44012</v>
      </c>
      <c r="F335" s="66">
        <v>44013</v>
      </c>
      <c r="G335" s="66">
        <v>44018</v>
      </c>
      <c r="H335" s="67">
        <v>0.035</v>
      </c>
      <c r="I335" s="114">
        <v>0.2568</v>
      </c>
      <c r="J335" s="113">
        <v>0</v>
      </c>
      <c r="K335" s="113">
        <v>0.2568</v>
      </c>
      <c r="L335" s="60">
        <f>+K335-((K335*0.0000001*0.125)+(K335*(1-0.0000001)*0.26))</f>
        <v>0.19003200346679996</v>
      </c>
      <c r="M335" s="60">
        <f t="shared" si="8"/>
        <v>0.19003200346679996</v>
      </c>
      <c r="N335" s="67" t="s">
        <v>251</v>
      </c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</row>
    <row r="336" spans="1:199" ht="23.25" customHeight="1">
      <c r="A336" s="119" t="s">
        <v>195</v>
      </c>
      <c r="B336" s="12" t="s">
        <v>195</v>
      </c>
      <c r="C336" s="74" t="s">
        <v>369</v>
      </c>
      <c r="D336" s="73" t="s">
        <v>411</v>
      </c>
      <c r="E336" s="65">
        <v>44012</v>
      </c>
      <c r="F336" s="66">
        <v>44013</v>
      </c>
      <c r="G336" s="66">
        <v>44018</v>
      </c>
      <c r="H336" s="67">
        <v>0.035</v>
      </c>
      <c r="I336" s="114">
        <v>0.264</v>
      </c>
      <c r="J336" s="113">
        <v>0</v>
      </c>
      <c r="K336" s="113">
        <v>0.264</v>
      </c>
      <c r="L336" s="60">
        <f>+K336-((K336*0.0000001*0.125)+(K336*(1-0.0000001)*0.26))</f>
        <v>0.19536000356400002</v>
      </c>
      <c r="M336" s="60">
        <f t="shared" si="8"/>
        <v>0.19536000356400002</v>
      </c>
      <c r="N336" s="67" t="s">
        <v>251</v>
      </c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</row>
    <row r="337" spans="1:252" ht="23.25" customHeight="1">
      <c r="A337" s="119"/>
      <c r="B337" s="12" t="s">
        <v>312</v>
      </c>
      <c r="C337" s="64" t="s">
        <v>428</v>
      </c>
      <c r="D337" s="12" t="s">
        <v>411</v>
      </c>
      <c r="E337" s="65">
        <v>44012</v>
      </c>
      <c r="F337" s="66">
        <v>44013</v>
      </c>
      <c r="G337" s="66">
        <v>44018</v>
      </c>
      <c r="H337" s="67">
        <v>0.05</v>
      </c>
      <c r="I337" s="114">
        <v>0.0211</v>
      </c>
      <c r="J337" s="113">
        <v>0</v>
      </c>
      <c r="K337" s="113">
        <v>0.0211</v>
      </c>
      <c r="L337" s="60">
        <f>+K337-((K337*0.028*0.125)+(K337*(1-0.028)*0.26))</f>
        <v>0.015693758</v>
      </c>
      <c r="M337" s="60">
        <f t="shared" si="8"/>
        <v>0.015693758</v>
      </c>
      <c r="N337" s="67" t="s">
        <v>251</v>
      </c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</row>
    <row r="338" spans="1:199" ht="23.25" customHeight="1">
      <c r="A338" s="119" t="s">
        <v>190</v>
      </c>
      <c r="B338" s="12" t="s">
        <v>190</v>
      </c>
      <c r="C338" s="69" t="s">
        <v>370</v>
      </c>
      <c r="D338" s="12" t="s">
        <v>411</v>
      </c>
      <c r="E338" s="65">
        <v>44012</v>
      </c>
      <c r="F338" s="66">
        <v>44013</v>
      </c>
      <c r="G338" s="66">
        <v>44018</v>
      </c>
      <c r="H338" s="67">
        <v>0.05</v>
      </c>
      <c r="I338" s="114">
        <v>0.3999</v>
      </c>
      <c r="J338" s="113">
        <v>0</v>
      </c>
      <c r="K338" s="113">
        <v>0.3999</v>
      </c>
      <c r="L338" s="60">
        <f>+K338-((K338*0.028*0.125)+(K338*(1-0.028)*0.26))</f>
        <v>0.297437622</v>
      </c>
      <c r="M338" s="60">
        <f t="shared" si="8"/>
        <v>0.297437622</v>
      </c>
      <c r="N338" s="67" t="s">
        <v>251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</row>
    <row r="339" spans="1:199" ht="23.25" customHeight="1">
      <c r="A339" s="119" t="s">
        <v>198</v>
      </c>
      <c r="B339" s="12" t="s">
        <v>198</v>
      </c>
      <c r="C339" s="74" t="s">
        <v>371</v>
      </c>
      <c r="D339" s="73" t="s">
        <v>411</v>
      </c>
      <c r="E339" s="65">
        <v>44012</v>
      </c>
      <c r="F339" s="66">
        <v>44013</v>
      </c>
      <c r="G339" s="66">
        <v>44018</v>
      </c>
      <c r="H339" s="67">
        <v>0.05</v>
      </c>
      <c r="I339" s="114">
        <v>0.3995</v>
      </c>
      <c r="J339" s="113">
        <v>0</v>
      </c>
      <c r="K339" s="113">
        <v>0.3995</v>
      </c>
      <c r="L339" s="60">
        <f>+K339-((K339*0.028*0.125)+(K339*(1-0.028)*0.26))</f>
        <v>0.29714011</v>
      </c>
      <c r="M339" s="60">
        <f t="shared" si="8"/>
        <v>0.29714011</v>
      </c>
      <c r="N339" s="67" t="s">
        <v>251</v>
      </c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</row>
    <row r="340" spans="1:252" s="4" customFormat="1" ht="23.25" customHeight="1">
      <c r="A340" s="119"/>
      <c r="B340" s="12" t="s">
        <v>516</v>
      </c>
      <c r="C340" s="64" t="s">
        <v>518</v>
      </c>
      <c r="D340" s="12" t="s">
        <v>411</v>
      </c>
      <c r="E340" s="65">
        <v>44012</v>
      </c>
      <c r="F340" s="66">
        <v>44013</v>
      </c>
      <c r="G340" s="66">
        <v>44018</v>
      </c>
      <c r="H340" s="128">
        <v>0.02</v>
      </c>
      <c r="I340" s="241">
        <v>0.1357</v>
      </c>
      <c r="J340" s="113">
        <v>0</v>
      </c>
      <c r="K340" s="113">
        <v>0.1357</v>
      </c>
      <c r="L340" s="60">
        <f>+K340-((K340*0.4903*0.125)+(K340*(1-0.4903)*0.26))</f>
        <v>0.10940005084999999</v>
      </c>
      <c r="M340" s="60">
        <f t="shared" si="8"/>
        <v>0.10940005084999999</v>
      </c>
      <c r="N340" s="67" t="s">
        <v>251</v>
      </c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</row>
    <row r="341" spans="1:252" s="9" customFormat="1" ht="23.25" customHeight="1">
      <c r="A341" s="119"/>
      <c r="B341" s="12" t="s">
        <v>517</v>
      </c>
      <c r="C341" s="64" t="s">
        <v>519</v>
      </c>
      <c r="D341" s="12" t="s">
        <v>411</v>
      </c>
      <c r="E341" s="120">
        <v>44012</v>
      </c>
      <c r="F341" s="121">
        <v>44013</v>
      </c>
      <c r="G341" s="121">
        <v>44018</v>
      </c>
      <c r="H341" s="128">
        <v>0.02</v>
      </c>
      <c r="I341" s="241">
        <v>0.1364</v>
      </c>
      <c r="J341" s="113">
        <v>0</v>
      </c>
      <c r="K341" s="113">
        <v>0.1364</v>
      </c>
      <c r="L341" s="60">
        <f>+K341-((K341*0.4903*0.125)+(K341*(1-0.4903)*0.26))</f>
        <v>0.10996438419999999</v>
      </c>
      <c r="M341" s="60">
        <f t="shared" si="8"/>
        <v>0.10996438419999999</v>
      </c>
      <c r="N341" s="67" t="s">
        <v>251</v>
      </c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  <c r="IP341" s="29"/>
      <c r="IQ341" s="29"/>
      <c r="IR341" s="29"/>
    </row>
    <row r="342" spans="1:252" ht="23.25" customHeight="1">
      <c r="A342" s="119" t="s">
        <v>58</v>
      </c>
      <c r="B342" s="12" t="s">
        <v>173</v>
      </c>
      <c r="C342" s="74" t="s">
        <v>372</v>
      </c>
      <c r="D342" s="12" t="s">
        <v>410</v>
      </c>
      <c r="E342" s="65">
        <v>44012</v>
      </c>
      <c r="F342" s="66">
        <v>44013</v>
      </c>
      <c r="G342" s="66">
        <v>44018</v>
      </c>
      <c r="H342" s="67">
        <v>0.01</v>
      </c>
      <c r="I342" s="114">
        <v>0.0131</v>
      </c>
      <c r="J342" s="113">
        <v>0</v>
      </c>
      <c r="K342" s="113">
        <v>0.0131</v>
      </c>
      <c r="L342" s="60">
        <f>+K342-((K342*0.355*0.125)+(K342*(1-0.355)*0.26))</f>
        <v>0.0103218175</v>
      </c>
      <c r="M342" s="60">
        <f t="shared" si="8"/>
        <v>0.0103218175</v>
      </c>
      <c r="N342" s="67" t="s">
        <v>248</v>
      </c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</row>
    <row r="343" spans="1:14" ht="23.25" customHeight="1">
      <c r="A343" s="119" t="s">
        <v>99</v>
      </c>
      <c r="B343" s="12" t="s">
        <v>150</v>
      </c>
      <c r="C343" s="64" t="s">
        <v>377</v>
      </c>
      <c r="D343" s="12" t="s">
        <v>410</v>
      </c>
      <c r="E343" s="65">
        <v>44012</v>
      </c>
      <c r="F343" s="66">
        <v>44013</v>
      </c>
      <c r="G343" s="66">
        <v>44018</v>
      </c>
      <c r="H343" s="67">
        <v>0.0225</v>
      </c>
      <c r="I343" s="114">
        <v>0.0317</v>
      </c>
      <c r="J343" s="113">
        <v>0</v>
      </c>
      <c r="K343" s="113">
        <v>0.0317</v>
      </c>
      <c r="L343" s="60">
        <f>+K343-((K343*0.0000001*0.125)+(K343*(1-0.0000001)*0.26))</f>
        <v>0.023458000427949998</v>
      </c>
      <c r="M343" s="60">
        <f t="shared" si="8"/>
        <v>0.023458000427949998</v>
      </c>
      <c r="N343" s="73" t="s">
        <v>248</v>
      </c>
    </row>
    <row r="344" spans="1:252" s="6" customFormat="1" ht="23.25" customHeight="1">
      <c r="A344" s="119"/>
      <c r="B344" s="12" t="s">
        <v>513</v>
      </c>
      <c r="C344" s="64" t="s">
        <v>512</v>
      </c>
      <c r="D344" s="12" t="s">
        <v>410</v>
      </c>
      <c r="E344" s="65">
        <v>44012</v>
      </c>
      <c r="F344" s="66">
        <v>44013</v>
      </c>
      <c r="G344" s="66">
        <v>44018</v>
      </c>
      <c r="H344" s="67">
        <v>0.0225</v>
      </c>
      <c r="I344" s="60">
        <v>0.0281</v>
      </c>
      <c r="J344" s="113">
        <v>0</v>
      </c>
      <c r="K344" s="113">
        <v>0.0281</v>
      </c>
      <c r="L344" s="60">
        <f>+K344-((K344*0.0000001*0.125)+(K344*(1-0.0000001)*0.26))</f>
        <v>0.02079400037935</v>
      </c>
      <c r="M344" s="60">
        <f t="shared" si="8"/>
        <v>0.02079400037935</v>
      </c>
      <c r="N344" s="73" t="s">
        <v>248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</row>
    <row r="345" spans="1:199" s="6" customFormat="1" ht="23.25" customHeight="1">
      <c r="A345" s="119"/>
      <c r="B345" s="12" t="s">
        <v>441</v>
      </c>
      <c r="C345" s="64" t="s">
        <v>444</v>
      </c>
      <c r="D345" s="12" t="s">
        <v>410</v>
      </c>
      <c r="E345" s="65">
        <v>44012</v>
      </c>
      <c r="F345" s="66">
        <v>44013</v>
      </c>
      <c r="G345" s="66">
        <v>44018</v>
      </c>
      <c r="H345" s="67">
        <v>0.015</v>
      </c>
      <c r="I345" s="113">
        <v>0.0187</v>
      </c>
      <c r="J345" s="113">
        <v>0</v>
      </c>
      <c r="K345" s="113">
        <v>0.0187</v>
      </c>
      <c r="L345" s="60">
        <f>+K345-((K345*0.2111*0.125)+(K345*(1-0.2111)*0.26))</f>
        <v>0.01437092195</v>
      </c>
      <c r="M345" s="60">
        <f t="shared" si="8"/>
        <v>0.01437092195</v>
      </c>
      <c r="N345" s="73" t="s">
        <v>248</v>
      </c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</row>
    <row r="346" spans="1:199" s="6" customFormat="1" ht="23.25" customHeight="1">
      <c r="A346" s="119"/>
      <c r="B346" s="12" t="s">
        <v>439</v>
      </c>
      <c r="C346" s="64" t="s">
        <v>442</v>
      </c>
      <c r="D346" s="12" t="s">
        <v>410</v>
      </c>
      <c r="E346" s="65">
        <v>44012</v>
      </c>
      <c r="F346" s="66">
        <v>44013</v>
      </c>
      <c r="G346" s="66">
        <v>44018</v>
      </c>
      <c r="H346" s="67">
        <v>0.015</v>
      </c>
      <c r="I346" s="113">
        <v>0.377</v>
      </c>
      <c r="J346" s="113">
        <v>0</v>
      </c>
      <c r="K346" s="113">
        <v>0.377</v>
      </c>
      <c r="L346" s="60">
        <f>+K346-((K346*0.2111*0.125)+(K346*(1-0.2111)*0.26))</f>
        <v>0.2897239345</v>
      </c>
      <c r="M346" s="60">
        <f t="shared" si="8"/>
        <v>0.2897239345</v>
      </c>
      <c r="N346" s="73" t="s">
        <v>248</v>
      </c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</row>
    <row r="347" spans="1:252" ht="23.25" customHeight="1">
      <c r="A347" s="119"/>
      <c r="B347" s="12" t="s">
        <v>440</v>
      </c>
      <c r="C347" s="64" t="s">
        <v>443</v>
      </c>
      <c r="D347" s="12" t="s">
        <v>410</v>
      </c>
      <c r="E347" s="65">
        <v>44012</v>
      </c>
      <c r="F347" s="66">
        <v>44013</v>
      </c>
      <c r="G347" s="66">
        <v>44018</v>
      </c>
      <c r="H347" s="67">
        <v>0.015</v>
      </c>
      <c r="I347" s="241">
        <v>0.3792</v>
      </c>
      <c r="J347" s="113">
        <v>0</v>
      </c>
      <c r="K347" s="113">
        <v>0.3792</v>
      </c>
      <c r="L347" s="60">
        <f>+K347-((K347*0.2111*0.125)+(K347*(1-0.2111)*0.26))</f>
        <v>0.2914146312</v>
      </c>
      <c r="M347" s="60">
        <f t="shared" si="8"/>
        <v>0.2914146312</v>
      </c>
      <c r="N347" s="73" t="s">
        <v>248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</row>
    <row r="348" spans="1:199" ht="23.25" customHeight="1">
      <c r="A348" s="119"/>
      <c r="B348" s="12" t="s">
        <v>299</v>
      </c>
      <c r="C348" s="64" t="s">
        <v>520</v>
      </c>
      <c r="D348" s="12" t="s">
        <v>410</v>
      </c>
      <c r="E348" s="65">
        <v>44012</v>
      </c>
      <c r="F348" s="66">
        <v>44013</v>
      </c>
      <c r="G348" s="66">
        <v>44018</v>
      </c>
      <c r="H348" s="67"/>
      <c r="I348" s="114">
        <v>0.0187</v>
      </c>
      <c r="J348" s="113">
        <v>0</v>
      </c>
      <c r="K348" s="113">
        <v>0.0187</v>
      </c>
      <c r="L348" s="60">
        <f>+K348-((K348*0.3305*0.125)+(K348*(1-0.3305)*0.26))</f>
        <v>0.014672347250000002</v>
      </c>
      <c r="M348" s="60">
        <f t="shared" si="8"/>
        <v>0.014672347250000002</v>
      </c>
      <c r="N348" s="67" t="s">
        <v>248</v>
      </c>
      <c r="GP348" s="10"/>
      <c r="GQ348" s="10"/>
    </row>
    <row r="349" spans="1:252" ht="23.25" customHeight="1">
      <c r="A349" s="118"/>
      <c r="B349" s="68" t="s">
        <v>299</v>
      </c>
      <c r="C349" s="64" t="s">
        <v>520</v>
      </c>
      <c r="D349" s="65" t="s">
        <v>410</v>
      </c>
      <c r="E349" s="66">
        <v>44012</v>
      </c>
      <c r="F349" s="66">
        <v>44013</v>
      </c>
      <c r="G349" s="66">
        <v>44018</v>
      </c>
      <c r="H349" s="67">
        <v>0.015</v>
      </c>
      <c r="I349" s="114">
        <v>0.0187</v>
      </c>
      <c r="J349" s="113">
        <v>0</v>
      </c>
      <c r="K349" s="113">
        <v>0.0187</v>
      </c>
      <c r="L349" s="60">
        <f>+K349-((K349*0.3305*0.125)+(K349*(1-0.3305)*0.26))</f>
        <v>0.014672347250000002</v>
      </c>
      <c r="M349" s="60">
        <f t="shared" si="8"/>
        <v>0.014672347250000002</v>
      </c>
      <c r="N349" s="73" t="s">
        <v>248</v>
      </c>
      <c r="IR349" s="51"/>
    </row>
    <row r="350" spans="1:14" ht="23.25" customHeight="1">
      <c r="A350" s="119" t="s">
        <v>182</v>
      </c>
      <c r="B350" s="12" t="s">
        <v>182</v>
      </c>
      <c r="C350" s="69" t="s">
        <v>479</v>
      </c>
      <c r="D350" s="12" t="s">
        <v>410</v>
      </c>
      <c r="E350" s="65">
        <v>44012</v>
      </c>
      <c r="F350" s="66">
        <v>44013</v>
      </c>
      <c r="G350" s="66">
        <v>44018</v>
      </c>
      <c r="H350" s="67">
        <v>0.015</v>
      </c>
      <c r="I350" s="114">
        <v>0.3656</v>
      </c>
      <c r="J350" s="113">
        <v>0</v>
      </c>
      <c r="K350" s="113">
        <v>0.3656</v>
      </c>
      <c r="L350" s="60">
        <f>+K350-((K350*0.3305*0.125)+(K350*(1-0.3305)*0.26))</f>
        <v>0.28685615799999997</v>
      </c>
      <c r="M350" s="60">
        <f t="shared" si="8"/>
        <v>0.28685615799999997</v>
      </c>
      <c r="N350" s="73" t="s">
        <v>248</v>
      </c>
    </row>
    <row r="351" spans="1:14" ht="23.25" customHeight="1">
      <c r="A351" s="119" t="s">
        <v>202</v>
      </c>
      <c r="B351" s="12" t="s">
        <v>202</v>
      </c>
      <c r="C351" s="74" t="s">
        <v>480</v>
      </c>
      <c r="D351" s="12" t="s">
        <v>410</v>
      </c>
      <c r="E351" s="65">
        <v>44012</v>
      </c>
      <c r="F351" s="66">
        <v>44013</v>
      </c>
      <c r="G351" s="66">
        <v>44018</v>
      </c>
      <c r="H351" s="67">
        <v>0.015</v>
      </c>
      <c r="I351" s="114">
        <v>0.3681</v>
      </c>
      <c r="J351" s="113">
        <v>0</v>
      </c>
      <c r="K351" s="113">
        <v>0.3681</v>
      </c>
      <c r="L351" s="60">
        <f>+K351-((K351*0.3305*0.125)+(K351*(1-0.3305)*0.26))</f>
        <v>0.28881770175</v>
      </c>
      <c r="M351" s="60">
        <f t="shared" si="8"/>
        <v>0.28881770175</v>
      </c>
      <c r="N351" s="67" t="s">
        <v>248</v>
      </c>
    </row>
    <row r="352" spans="1:14" ht="23.25" customHeight="1">
      <c r="A352" s="119" t="s">
        <v>95</v>
      </c>
      <c r="B352" s="12" t="s">
        <v>146</v>
      </c>
      <c r="C352" s="64" t="s">
        <v>380</v>
      </c>
      <c r="D352" s="12" t="s">
        <v>410</v>
      </c>
      <c r="E352" s="65">
        <v>44012</v>
      </c>
      <c r="F352" s="66">
        <v>44013</v>
      </c>
      <c r="G352" s="66">
        <v>44018</v>
      </c>
      <c r="H352" s="67">
        <v>0.025</v>
      </c>
      <c r="I352" s="114">
        <v>0.0395</v>
      </c>
      <c r="J352" s="113">
        <v>0</v>
      </c>
      <c r="K352" s="113">
        <v>0.0395</v>
      </c>
      <c r="L352" s="60">
        <f>+K352-((K352*0.004*0.125)+(K352*(1-0.004)*0.26))</f>
        <v>0.02925133</v>
      </c>
      <c r="M352" s="60">
        <f t="shared" si="8"/>
        <v>0.02925133</v>
      </c>
      <c r="N352" s="73" t="s">
        <v>248</v>
      </c>
    </row>
    <row r="353" spans="1:14" ht="23.25" customHeight="1">
      <c r="A353" s="119" t="s">
        <v>10</v>
      </c>
      <c r="B353" s="12" t="s">
        <v>163</v>
      </c>
      <c r="C353" s="69" t="s">
        <v>381</v>
      </c>
      <c r="D353" s="12" t="s">
        <v>410</v>
      </c>
      <c r="E353" s="65">
        <v>44012</v>
      </c>
      <c r="F353" s="66">
        <v>44013</v>
      </c>
      <c r="G353" s="66">
        <v>44018</v>
      </c>
      <c r="H353" s="67">
        <v>0.025</v>
      </c>
      <c r="I353" s="114">
        <v>0.0357</v>
      </c>
      <c r="J353" s="113">
        <v>0</v>
      </c>
      <c r="K353" s="113">
        <v>0.0357</v>
      </c>
      <c r="L353" s="60">
        <f>+K353-((K353*0.004*0.125)+(K353*(1-0.004)*0.26))</f>
        <v>0.026437278</v>
      </c>
      <c r="M353" s="60">
        <f t="shared" si="8"/>
        <v>0.026437278</v>
      </c>
      <c r="N353" s="73" t="s">
        <v>248</v>
      </c>
    </row>
    <row r="354" spans="1:199" ht="23.25" customHeight="1">
      <c r="A354" s="119" t="s">
        <v>100</v>
      </c>
      <c r="B354" s="12" t="s">
        <v>151</v>
      </c>
      <c r="C354" s="64" t="s">
        <v>383</v>
      </c>
      <c r="D354" s="12" t="s">
        <v>410</v>
      </c>
      <c r="E354" s="65">
        <v>44012</v>
      </c>
      <c r="F354" s="66">
        <v>44013</v>
      </c>
      <c r="G354" s="66">
        <v>44018</v>
      </c>
      <c r="H354" s="67">
        <v>0.023</v>
      </c>
      <c r="I354" s="114">
        <v>0.0288</v>
      </c>
      <c r="J354" s="113">
        <v>0</v>
      </c>
      <c r="K354" s="113">
        <v>0.0288</v>
      </c>
      <c r="L354" s="60">
        <f>+K354-((K354*0.0509*0.125)+(K354*(1-0.0509)*0.26))</f>
        <v>0.021509899199999998</v>
      </c>
      <c r="M354" s="60">
        <f t="shared" si="8"/>
        <v>0.021509899199999998</v>
      </c>
      <c r="N354" s="73" t="s">
        <v>248</v>
      </c>
      <c r="GP354" s="10"/>
      <c r="GQ354" s="10"/>
    </row>
    <row r="355" spans="1:14" ht="23.25" customHeight="1">
      <c r="A355" s="119" t="s">
        <v>27</v>
      </c>
      <c r="B355" s="12" t="s">
        <v>166</v>
      </c>
      <c r="C355" s="69" t="s">
        <v>384</v>
      </c>
      <c r="D355" s="12" t="s">
        <v>410</v>
      </c>
      <c r="E355" s="65">
        <v>44012</v>
      </c>
      <c r="F355" s="66">
        <v>44013</v>
      </c>
      <c r="G355" s="66">
        <v>44018</v>
      </c>
      <c r="H355" s="67">
        <v>0.023</v>
      </c>
      <c r="I355" s="114">
        <v>0.0288</v>
      </c>
      <c r="J355" s="113">
        <v>0</v>
      </c>
      <c r="K355" s="113">
        <v>0.0288</v>
      </c>
      <c r="L355" s="60">
        <f>+K355-((K355*0.0509*0.125)+(K355*(1-0.0509)*0.26))</f>
        <v>0.021509899199999998</v>
      </c>
      <c r="M355" s="60">
        <f t="shared" si="8"/>
        <v>0.021509899199999998</v>
      </c>
      <c r="N355" s="73" t="s">
        <v>248</v>
      </c>
    </row>
    <row r="356" spans="1:14" ht="23.25" customHeight="1">
      <c r="A356" s="119" t="s">
        <v>98</v>
      </c>
      <c r="B356" s="12" t="s">
        <v>149</v>
      </c>
      <c r="C356" s="64" t="s">
        <v>386</v>
      </c>
      <c r="D356" s="12" t="s">
        <v>410</v>
      </c>
      <c r="E356" s="65">
        <v>44012</v>
      </c>
      <c r="F356" s="66">
        <v>44013</v>
      </c>
      <c r="G356" s="66">
        <v>44018</v>
      </c>
      <c r="H356" s="67">
        <v>0.05</v>
      </c>
      <c r="I356" s="114">
        <v>0.0764</v>
      </c>
      <c r="J356" s="113">
        <v>0</v>
      </c>
      <c r="K356" s="113">
        <v>0.0764</v>
      </c>
      <c r="L356" s="60">
        <f>+K356-((K356*0.0921*0.125)+(K356*(1-0.921)*0.26))</f>
        <v>0.073951189</v>
      </c>
      <c r="M356" s="60">
        <f t="shared" si="8"/>
        <v>0.073951189</v>
      </c>
      <c r="N356" s="73" t="s">
        <v>248</v>
      </c>
    </row>
    <row r="357" spans="1:199" ht="23.25" customHeight="1">
      <c r="A357" s="119" t="s">
        <v>11</v>
      </c>
      <c r="B357" s="12" t="s">
        <v>165</v>
      </c>
      <c r="C357" s="69" t="s">
        <v>387</v>
      </c>
      <c r="D357" s="12" t="s">
        <v>410</v>
      </c>
      <c r="E357" s="65">
        <v>44012</v>
      </c>
      <c r="F357" s="66">
        <v>44013</v>
      </c>
      <c r="G357" s="66">
        <v>44018</v>
      </c>
      <c r="H357" s="67">
        <v>0.05</v>
      </c>
      <c r="I357" s="114">
        <v>0.0722</v>
      </c>
      <c r="J357" s="113">
        <v>0</v>
      </c>
      <c r="K357" s="113">
        <v>0.0722</v>
      </c>
      <c r="L357" s="60">
        <f>+K357-((K357*0.0921*0.125)+(K357*(1-0.921)*0.26))</f>
        <v>0.0698858095</v>
      </c>
      <c r="M357" s="60">
        <f t="shared" si="8"/>
        <v>0.0698858095</v>
      </c>
      <c r="N357" s="73" t="s">
        <v>248</v>
      </c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  <c r="GO357" s="29"/>
      <c r="GP357" s="29"/>
      <c r="GQ357" s="29"/>
    </row>
    <row r="358" spans="1:14" ht="23.25" customHeight="1">
      <c r="A358" s="119" t="s">
        <v>102</v>
      </c>
      <c r="B358" s="12" t="s">
        <v>153</v>
      </c>
      <c r="C358" s="64" t="s">
        <v>394</v>
      </c>
      <c r="D358" s="12" t="s">
        <v>410</v>
      </c>
      <c r="E358" s="65">
        <v>44012</v>
      </c>
      <c r="F358" s="66">
        <v>44013</v>
      </c>
      <c r="G358" s="66">
        <v>44018</v>
      </c>
      <c r="H358" s="67">
        <v>0.025</v>
      </c>
      <c r="I358" s="114">
        <v>0.0301</v>
      </c>
      <c r="J358" s="113">
        <v>0</v>
      </c>
      <c r="K358" s="113">
        <v>0.0301</v>
      </c>
      <c r="L358" s="60">
        <f>+K358-((K358*0.1243*0.125)+(K358*(1-0.1243)*0.26))</f>
        <v>0.022779093049999997</v>
      </c>
      <c r="M358" s="60">
        <f t="shared" si="8"/>
        <v>0.022779093049999997</v>
      </c>
      <c r="N358" s="73" t="s">
        <v>248</v>
      </c>
    </row>
    <row r="359" spans="1:199" ht="23.25" customHeight="1">
      <c r="A359" s="119" t="s">
        <v>101</v>
      </c>
      <c r="B359" s="12" t="s">
        <v>152</v>
      </c>
      <c r="C359" s="64" t="s">
        <v>395</v>
      </c>
      <c r="D359" s="12" t="s">
        <v>410</v>
      </c>
      <c r="E359" s="65">
        <v>44012</v>
      </c>
      <c r="F359" s="66">
        <v>44013</v>
      </c>
      <c r="G359" s="66">
        <v>44018</v>
      </c>
      <c r="H359" s="67">
        <v>0.025</v>
      </c>
      <c r="I359" s="114">
        <v>0.0406</v>
      </c>
      <c r="J359" s="113">
        <v>0</v>
      </c>
      <c r="K359" s="113">
        <v>0.0406</v>
      </c>
      <c r="L359" s="60">
        <f>+K359-((K359*0.1243*0.125)+(K359*(1-0.1243)*0.26))</f>
        <v>0.030725288299999997</v>
      </c>
      <c r="M359" s="60">
        <f t="shared" si="8"/>
        <v>0.030725288299999997</v>
      </c>
      <c r="N359" s="73" t="s">
        <v>248</v>
      </c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</row>
    <row r="360" spans="1:199" ht="23.25" customHeight="1">
      <c r="A360" s="119" t="s">
        <v>12</v>
      </c>
      <c r="B360" s="12" t="s">
        <v>167</v>
      </c>
      <c r="C360" s="69" t="s">
        <v>396</v>
      </c>
      <c r="D360" s="12" t="s">
        <v>410</v>
      </c>
      <c r="E360" s="65">
        <v>44012</v>
      </c>
      <c r="F360" s="66">
        <v>44013</v>
      </c>
      <c r="G360" s="66">
        <v>44018</v>
      </c>
      <c r="H360" s="67">
        <v>0.025</v>
      </c>
      <c r="I360" s="114">
        <v>0.0392</v>
      </c>
      <c r="J360" s="113">
        <v>0</v>
      </c>
      <c r="K360" s="113">
        <v>0.0392</v>
      </c>
      <c r="L360" s="60">
        <f>+K360-((K360*0.1243*0.125)+(K360*(1-0.1243)*0.26))</f>
        <v>0.0296657956</v>
      </c>
      <c r="M360" s="60">
        <f t="shared" si="8"/>
        <v>0.0296657956</v>
      </c>
      <c r="N360" s="73" t="s">
        <v>248</v>
      </c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</row>
    <row r="361" spans="1:199" ht="23.25" customHeight="1">
      <c r="A361" s="119"/>
      <c r="B361" s="12" t="s">
        <v>301</v>
      </c>
      <c r="C361" s="64" t="s">
        <v>407</v>
      </c>
      <c r="D361" s="12" t="s">
        <v>410</v>
      </c>
      <c r="E361" s="65">
        <v>44012</v>
      </c>
      <c r="F361" s="66">
        <v>44013</v>
      </c>
      <c r="G361" s="66">
        <v>44018</v>
      </c>
      <c r="H361" s="67">
        <v>0.025</v>
      </c>
      <c r="I361" s="114">
        <v>0.0309</v>
      </c>
      <c r="J361" s="113">
        <v>0</v>
      </c>
      <c r="K361" s="113">
        <v>0.0309</v>
      </c>
      <c r="L361" s="60">
        <f>+K361-((K361*0.1243*0.125)+(K361*(1-0.1243)*0.26))</f>
        <v>0.02338451745</v>
      </c>
      <c r="M361" s="60">
        <f t="shared" si="8"/>
        <v>0.02338451745</v>
      </c>
      <c r="N361" s="67" t="s">
        <v>248</v>
      </c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</row>
    <row r="362" spans="1:199" ht="23.25" customHeight="1">
      <c r="A362" s="119"/>
      <c r="B362" s="12" t="s">
        <v>304</v>
      </c>
      <c r="C362" s="64" t="s">
        <v>408</v>
      </c>
      <c r="D362" s="12" t="s">
        <v>410</v>
      </c>
      <c r="E362" s="65">
        <v>44012</v>
      </c>
      <c r="F362" s="66">
        <v>44013</v>
      </c>
      <c r="G362" s="66">
        <v>44018</v>
      </c>
      <c r="H362" s="70">
        <v>0.0225</v>
      </c>
      <c r="I362" s="114">
        <v>0.0278</v>
      </c>
      <c r="J362" s="113">
        <v>0</v>
      </c>
      <c r="K362" s="113">
        <v>0.0278</v>
      </c>
      <c r="L362" s="60">
        <f>+K362-((K362*0.1466*0.125)+(K362*(1-0.1466)*0.26))</f>
        <v>0.0211221898</v>
      </c>
      <c r="M362" s="60">
        <f t="shared" si="8"/>
        <v>0.0211221898</v>
      </c>
      <c r="N362" s="67" t="s">
        <v>248</v>
      </c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</row>
    <row r="363" spans="1:199" ht="23.25" customHeight="1">
      <c r="A363" s="119" t="s">
        <v>230</v>
      </c>
      <c r="B363" s="12" t="s">
        <v>183</v>
      </c>
      <c r="C363" s="69" t="s">
        <v>398</v>
      </c>
      <c r="D363" s="12" t="s">
        <v>410</v>
      </c>
      <c r="E363" s="65">
        <v>44012</v>
      </c>
      <c r="F363" s="66">
        <v>44013</v>
      </c>
      <c r="G363" s="66">
        <v>44018</v>
      </c>
      <c r="H363" s="70">
        <v>0.0225</v>
      </c>
      <c r="I363" s="114">
        <v>0.0279</v>
      </c>
      <c r="J363" s="113">
        <v>0</v>
      </c>
      <c r="K363" s="113">
        <v>0.0279</v>
      </c>
      <c r="L363" s="60">
        <f>+K363-((K363*0.1466*0.125)+(K363*(1-0.1466)*0.26))</f>
        <v>0.0211981689</v>
      </c>
      <c r="M363" s="60">
        <f t="shared" si="8"/>
        <v>0.0211981689</v>
      </c>
      <c r="N363" s="73" t="s">
        <v>248</v>
      </c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</row>
    <row r="364" spans="1:199" ht="23.25" customHeight="1">
      <c r="A364" s="119"/>
      <c r="B364" s="12" t="s">
        <v>313</v>
      </c>
      <c r="C364" s="64" t="s">
        <v>429</v>
      </c>
      <c r="D364" s="12" t="s">
        <v>411</v>
      </c>
      <c r="E364" s="65">
        <v>44012</v>
      </c>
      <c r="F364" s="66">
        <v>44013</v>
      </c>
      <c r="G364" s="66">
        <v>44018</v>
      </c>
      <c r="H364" s="70">
        <v>0.0225</v>
      </c>
      <c r="I364" s="114">
        <v>0.0093</v>
      </c>
      <c r="J364" s="113">
        <v>0</v>
      </c>
      <c r="K364" s="113">
        <v>0.0093</v>
      </c>
      <c r="L364" s="60">
        <f>+K364-((K364*0.1466*0.125)+(K364*(1-0.1466)*0.26))</f>
        <v>0.0070660563</v>
      </c>
      <c r="M364" s="60">
        <f t="shared" si="8"/>
        <v>0.0070660563</v>
      </c>
      <c r="N364" s="67" t="s">
        <v>251</v>
      </c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</row>
    <row r="365" spans="1:252" s="29" customFormat="1" ht="23.25" customHeight="1">
      <c r="A365" s="119"/>
      <c r="B365" s="12" t="s">
        <v>305</v>
      </c>
      <c r="C365" s="64" t="s">
        <v>409</v>
      </c>
      <c r="D365" s="12" t="s">
        <v>410</v>
      </c>
      <c r="E365" s="65">
        <v>44012</v>
      </c>
      <c r="F365" s="66">
        <v>44013</v>
      </c>
      <c r="G365" s="66">
        <v>44018</v>
      </c>
      <c r="H365" s="70">
        <v>0.0225</v>
      </c>
      <c r="I365" s="60">
        <v>0.028</v>
      </c>
      <c r="J365" s="113">
        <v>0</v>
      </c>
      <c r="K365" s="113">
        <v>0.028</v>
      </c>
      <c r="L365" s="60">
        <f>+K365-((K365*0.1466*0.125)+(K365*(1-0.1466)*0.26))</f>
        <v>0.021274148</v>
      </c>
      <c r="M365" s="60">
        <f t="shared" si="8"/>
        <v>0.021274148</v>
      </c>
      <c r="N365" s="67" t="s">
        <v>248</v>
      </c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</row>
    <row r="366" spans="1:252" s="29" customFormat="1" ht="23.25" customHeight="1">
      <c r="A366" s="119" t="s">
        <v>96</v>
      </c>
      <c r="B366" s="12" t="s">
        <v>147</v>
      </c>
      <c r="C366" s="64" t="s">
        <v>468</v>
      </c>
      <c r="D366" s="12" t="s">
        <v>410</v>
      </c>
      <c r="E366" s="65">
        <v>44012</v>
      </c>
      <c r="F366" s="66">
        <v>44013</v>
      </c>
      <c r="G366" s="66">
        <v>44018</v>
      </c>
      <c r="H366" s="67">
        <v>0.023</v>
      </c>
      <c r="I366" s="60">
        <v>0.0313</v>
      </c>
      <c r="J366" s="113">
        <v>0</v>
      </c>
      <c r="K366" s="113">
        <v>0.0313</v>
      </c>
      <c r="L366" s="60">
        <f>+K366-((K366*0.127*0.125)+(K366*(1-0.127)*0.26))</f>
        <v>0.0236986385</v>
      </c>
      <c r="M366" s="60">
        <f t="shared" si="8"/>
        <v>0.0236986385</v>
      </c>
      <c r="N366" s="73" t="s">
        <v>248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10"/>
      <c r="GQ366" s="10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</row>
    <row r="367" spans="1:252" s="29" customFormat="1" ht="23.25" customHeight="1">
      <c r="A367" s="119" t="s">
        <v>9</v>
      </c>
      <c r="B367" s="12" t="s">
        <v>164</v>
      </c>
      <c r="C367" s="69" t="s">
        <v>469</v>
      </c>
      <c r="D367" s="12" t="s">
        <v>410</v>
      </c>
      <c r="E367" s="65">
        <v>44012</v>
      </c>
      <c r="F367" s="66">
        <v>44013</v>
      </c>
      <c r="G367" s="66">
        <v>44018</v>
      </c>
      <c r="H367" s="67">
        <v>0.023</v>
      </c>
      <c r="I367" s="60">
        <v>0.0295</v>
      </c>
      <c r="J367" s="113">
        <v>0</v>
      </c>
      <c r="K367" s="113">
        <v>0.0295</v>
      </c>
      <c r="L367" s="60">
        <f>+K367-((K367*0.127*0.125)+(K367*(1-0.127)*0.26))</f>
        <v>0.022335777499999997</v>
      </c>
      <c r="M367" s="60">
        <f t="shared" si="8"/>
        <v>0.022335777499999997</v>
      </c>
      <c r="N367" s="73" t="s">
        <v>248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10"/>
      <c r="GQ367" s="10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</row>
    <row r="368" spans="1:199" s="30" customFormat="1" ht="23.25" customHeight="1">
      <c r="A368" s="12" t="s">
        <v>107</v>
      </c>
      <c r="B368" s="12" t="s">
        <v>132</v>
      </c>
      <c r="C368" s="64" t="s">
        <v>358</v>
      </c>
      <c r="D368" s="12" t="s">
        <v>410</v>
      </c>
      <c r="E368" s="65">
        <v>44039</v>
      </c>
      <c r="F368" s="66">
        <v>44040</v>
      </c>
      <c r="G368" s="66">
        <v>44043</v>
      </c>
      <c r="H368" s="67">
        <v>0.03</v>
      </c>
      <c r="I368" s="113">
        <v>0.0354</v>
      </c>
      <c r="J368" s="113">
        <v>0</v>
      </c>
      <c r="K368" s="113">
        <v>0.0354</v>
      </c>
      <c r="L368" s="60">
        <f>+K368-((K368*0.2612*0.125)+(K368*(1-0.2612)*0.26))</f>
        <v>0.0274442748</v>
      </c>
      <c r="M368" s="60">
        <f t="shared" si="8"/>
        <v>0.0274442748</v>
      </c>
      <c r="N368" s="67" t="s">
        <v>249</v>
      </c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</row>
    <row r="369" spans="1:199" s="30" customFormat="1" ht="23.25" customHeight="1">
      <c r="A369" s="12" t="s">
        <v>121</v>
      </c>
      <c r="B369" s="12" t="s">
        <v>227</v>
      </c>
      <c r="C369" s="74" t="s">
        <v>359</v>
      </c>
      <c r="D369" s="12" t="s">
        <v>410</v>
      </c>
      <c r="E369" s="107">
        <v>44039</v>
      </c>
      <c r="F369" s="107">
        <v>44040</v>
      </c>
      <c r="G369" s="107">
        <v>44043</v>
      </c>
      <c r="H369" s="67">
        <v>0.03</v>
      </c>
      <c r="I369" s="113">
        <v>0.0352</v>
      </c>
      <c r="J369" s="113">
        <v>0</v>
      </c>
      <c r="K369" s="113">
        <v>0.0352</v>
      </c>
      <c r="L369" s="60">
        <f>+K369-((K369*0.2612*0.125)+(K369*(1-0.2612)*0.26))</f>
        <v>0.0272892224</v>
      </c>
      <c r="M369" s="60">
        <f t="shared" si="8"/>
        <v>0.0272892224</v>
      </c>
      <c r="N369" s="67" t="s">
        <v>249</v>
      </c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</row>
    <row r="370" spans="1:199" s="30" customFormat="1" ht="23.25" customHeight="1">
      <c r="A370" s="12" t="s">
        <v>73</v>
      </c>
      <c r="B370" s="12" t="s">
        <v>156</v>
      </c>
      <c r="C370" s="64" t="s">
        <v>473</v>
      </c>
      <c r="D370" s="12" t="s">
        <v>498</v>
      </c>
      <c r="E370" s="65">
        <v>44039</v>
      </c>
      <c r="F370" s="65">
        <v>44040</v>
      </c>
      <c r="G370" s="65">
        <v>44043</v>
      </c>
      <c r="H370" s="67">
        <v>0.04</v>
      </c>
      <c r="I370" s="113">
        <v>0.1026</v>
      </c>
      <c r="J370" s="113">
        <v>0</v>
      </c>
      <c r="K370" s="113">
        <v>0.1026</v>
      </c>
      <c r="L370" s="60">
        <f>+K370-((K370*0.0000001*0.125)+(K370*(1-0.0000001)*0.26))</f>
        <v>0.0759240013851</v>
      </c>
      <c r="M370" s="60">
        <f t="shared" si="8"/>
        <v>0.0759240013851</v>
      </c>
      <c r="N370" s="67" t="s">
        <v>250</v>
      </c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</row>
    <row r="371" spans="1:14" s="30" customFormat="1" ht="23.25" customHeight="1">
      <c r="A371" s="12" t="s">
        <v>40</v>
      </c>
      <c r="B371" s="12" t="s">
        <v>178</v>
      </c>
      <c r="C371" s="74" t="s">
        <v>474</v>
      </c>
      <c r="D371" s="12" t="s">
        <v>498</v>
      </c>
      <c r="E371" s="107">
        <v>44039</v>
      </c>
      <c r="F371" s="107">
        <v>44040</v>
      </c>
      <c r="G371" s="107">
        <v>44043</v>
      </c>
      <c r="H371" s="67">
        <v>0.04</v>
      </c>
      <c r="I371" s="113">
        <v>0.0894</v>
      </c>
      <c r="J371" s="113">
        <v>0.006481280000000006</v>
      </c>
      <c r="K371" s="113">
        <v>0.0894</v>
      </c>
      <c r="L371" s="60">
        <f>+K371-((K371*0.0000001*0.125)+(K371*(1-0.0000001)*0.26))</f>
        <v>0.06615600120689999</v>
      </c>
      <c r="M371" s="60">
        <f t="shared" si="8"/>
        <v>0.0726372812069</v>
      </c>
      <c r="N371" s="67" t="s">
        <v>250</v>
      </c>
    </row>
    <row r="372" spans="1:14" s="30" customFormat="1" ht="23.25" customHeight="1">
      <c r="A372" s="12" t="s">
        <v>108</v>
      </c>
      <c r="B372" s="12" t="s">
        <v>133</v>
      </c>
      <c r="C372" s="64" t="s">
        <v>476</v>
      </c>
      <c r="D372" s="12" t="s">
        <v>410</v>
      </c>
      <c r="E372" s="65">
        <v>44039</v>
      </c>
      <c r="F372" s="66">
        <v>44040</v>
      </c>
      <c r="G372" s="66">
        <v>44043</v>
      </c>
      <c r="H372" s="67">
        <v>0.04</v>
      </c>
      <c r="I372" s="113">
        <v>0.0431</v>
      </c>
      <c r="J372" s="113">
        <v>0</v>
      </c>
      <c r="K372" s="113">
        <v>0.0431</v>
      </c>
      <c r="L372" s="60">
        <f>+K372-((K372*0.0000001*0.125)+(K372*(1-0.0000001)*0.26))</f>
        <v>0.03189400058185</v>
      </c>
      <c r="M372" s="60">
        <f t="shared" si="8"/>
        <v>0.03189400058185</v>
      </c>
      <c r="N372" s="67" t="s">
        <v>249</v>
      </c>
    </row>
    <row r="373" spans="1:14" s="30" customFormat="1" ht="23.25" customHeight="1">
      <c r="A373" s="12" t="s">
        <v>72</v>
      </c>
      <c r="B373" s="12" t="s">
        <v>155</v>
      </c>
      <c r="C373" s="64" t="s">
        <v>477</v>
      </c>
      <c r="D373" s="12" t="s">
        <v>498</v>
      </c>
      <c r="E373" s="107">
        <v>44039</v>
      </c>
      <c r="F373" s="107">
        <v>44040</v>
      </c>
      <c r="G373" s="107">
        <v>44043</v>
      </c>
      <c r="H373" s="67">
        <v>0.04</v>
      </c>
      <c r="I373" s="113">
        <v>0.098</v>
      </c>
      <c r="J373" s="113">
        <v>0.00945269000000001</v>
      </c>
      <c r="K373" s="113">
        <v>0.098</v>
      </c>
      <c r="L373" s="60">
        <f>+K373-((K373*0.0000001*0.125)+(K373*(1-0.0000001)*0.26))</f>
        <v>0.072520001323</v>
      </c>
      <c r="M373" s="60">
        <f t="shared" si="8"/>
        <v>0.08197269132300002</v>
      </c>
      <c r="N373" s="67" t="s">
        <v>250</v>
      </c>
    </row>
    <row r="374" spans="1:14" s="30" customFormat="1" ht="23.25" customHeight="1">
      <c r="A374" s="12" t="s">
        <v>39</v>
      </c>
      <c r="B374" s="12" t="s">
        <v>177</v>
      </c>
      <c r="C374" s="74" t="s">
        <v>478</v>
      </c>
      <c r="D374" s="12" t="s">
        <v>498</v>
      </c>
      <c r="E374" s="107">
        <v>44039</v>
      </c>
      <c r="F374" s="107">
        <v>44040</v>
      </c>
      <c r="G374" s="107">
        <v>44043</v>
      </c>
      <c r="H374" s="67">
        <v>0.04</v>
      </c>
      <c r="I374" s="113">
        <v>0.0999</v>
      </c>
      <c r="J374" s="113">
        <v>0</v>
      </c>
      <c r="K374" s="113">
        <v>0.0999</v>
      </c>
      <c r="L374" s="60">
        <f>+K374-((K374*0.0000001*0.125)+(K374*(1-0.0000001)*0.26))</f>
        <v>0.07392600134865</v>
      </c>
      <c r="M374" s="60">
        <f t="shared" si="8"/>
        <v>0.07392600134865</v>
      </c>
      <c r="N374" s="67" t="s">
        <v>250</v>
      </c>
    </row>
    <row r="375" spans="1:14" s="30" customFormat="1" ht="23.25" customHeight="1">
      <c r="A375" s="12" t="s">
        <v>76</v>
      </c>
      <c r="B375" s="12" t="s">
        <v>158</v>
      </c>
      <c r="C375" s="64" t="s">
        <v>373</v>
      </c>
      <c r="D375" s="12" t="s">
        <v>498</v>
      </c>
      <c r="E375" s="107">
        <v>44039</v>
      </c>
      <c r="F375" s="107">
        <v>44040</v>
      </c>
      <c r="G375" s="107">
        <v>44043</v>
      </c>
      <c r="H375" s="67">
        <v>0.0425</v>
      </c>
      <c r="I375" s="113">
        <v>0.0864</v>
      </c>
      <c r="J375" s="113">
        <v>0</v>
      </c>
      <c r="K375" s="113">
        <v>0.0864</v>
      </c>
      <c r="L375" s="60">
        <f>+K375-((K375*0.2536*0.125)+(K375*(1-0.2536)*0.26))</f>
        <v>0.0668939904</v>
      </c>
      <c r="M375" s="60">
        <f t="shared" si="8"/>
        <v>0.0668939904</v>
      </c>
      <c r="N375" s="67" t="s">
        <v>250</v>
      </c>
    </row>
    <row r="376" spans="1:14" s="30" customFormat="1" ht="23.25" customHeight="1">
      <c r="A376" s="40" t="s">
        <v>109</v>
      </c>
      <c r="B376" s="12" t="s">
        <v>134</v>
      </c>
      <c r="C376" s="64" t="s">
        <v>374</v>
      </c>
      <c r="D376" s="12" t="s">
        <v>410</v>
      </c>
      <c r="E376" s="65">
        <v>44039</v>
      </c>
      <c r="F376" s="66">
        <v>44040</v>
      </c>
      <c r="G376" s="66">
        <v>44043</v>
      </c>
      <c r="H376" s="67">
        <v>0.0425</v>
      </c>
      <c r="I376" s="113">
        <v>0.0546</v>
      </c>
      <c r="J376" s="113">
        <v>0</v>
      </c>
      <c r="K376" s="113">
        <v>0.0546</v>
      </c>
      <c r="L376" s="60">
        <f>+K376-((K376*0.2536*0.125)+(K376*(1-0.2536)*0.26))</f>
        <v>0.0422732856</v>
      </c>
      <c r="M376" s="60">
        <f t="shared" si="8"/>
        <v>0.0422732856</v>
      </c>
      <c r="N376" s="67" t="s">
        <v>249</v>
      </c>
    </row>
    <row r="377" spans="1:14" s="30" customFormat="1" ht="23.25" customHeight="1">
      <c r="A377" s="40" t="s">
        <v>75</v>
      </c>
      <c r="B377" s="12" t="s">
        <v>157</v>
      </c>
      <c r="C377" s="64" t="s">
        <v>375</v>
      </c>
      <c r="D377" s="12" t="s">
        <v>498</v>
      </c>
      <c r="E377" s="107">
        <v>44039</v>
      </c>
      <c r="F377" s="107">
        <v>44040</v>
      </c>
      <c r="G377" s="107">
        <v>44043</v>
      </c>
      <c r="H377" s="67">
        <v>0.0425</v>
      </c>
      <c r="I377" s="113">
        <v>0.0828</v>
      </c>
      <c r="J377" s="113">
        <v>0.011667255665473749</v>
      </c>
      <c r="K377" s="113">
        <v>0.0828</v>
      </c>
      <c r="L377" s="60">
        <f>+K377-((K377*0.2536*0.125)+(K377*(1-0.2536)*0.26))</f>
        <v>0.0641067408</v>
      </c>
      <c r="M377" s="60">
        <f t="shared" si="8"/>
        <v>0.07577399646547375</v>
      </c>
      <c r="N377" s="67" t="s">
        <v>250</v>
      </c>
    </row>
    <row r="378" spans="1:14" s="30" customFormat="1" ht="23.25" customHeight="1">
      <c r="A378" s="40" t="s">
        <v>37</v>
      </c>
      <c r="B378" s="12" t="s">
        <v>168</v>
      </c>
      <c r="C378" s="74" t="s">
        <v>376</v>
      </c>
      <c r="D378" s="12" t="s">
        <v>410</v>
      </c>
      <c r="E378" s="107">
        <v>44039</v>
      </c>
      <c r="F378" s="107">
        <v>44040</v>
      </c>
      <c r="G378" s="107">
        <v>44043</v>
      </c>
      <c r="H378" s="67">
        <v>0.0425</v>
      </c>
      <c r="I378" s="113">
        <v>0.0473</v>
      </c>
      <c r="J378" s="113">
        <v>0</v>
      </c>
      <c r="K378" s="113">
        <v>0.0473</v>
      </c>
      <c r="L378" s="60">
        <f>+K378-((K378*0.2536*0.125)+(K378*(1-0.2536)*0.26))</f>
        <v>0.0366213628</v>
      </c>
      <c r="M378" s="60">
        <f t="shared" si="8"/>
        <v>0.0366213628</v>
      </c>
      <c r="N378" s="73" t="s">
        <v>249</v>
      </c>
    </row>
    <row r="379" spans="1:14" s="30" customFormat="1" ht="23.25" customHeight="1">
      <c r="A379" s="40" t="s">
        <v>111</v>
      </c>
      <c r="B379" s="12" t="s">
        <v>136</v>
      </c>
      <c r="C379" s="64" t="s">
        <v>388</v>
      </c>
      <c r="D379" s="12" t="s">
        <v>410</v>
      </c>
      <c r="E379" s="65">
        <v>44039</v>
      </c>
      <c r="F379" s="66">
        <v>44040</v>
      </c>
      <c r="G379" s="66">
        <v>44043</v>
      </c>
      <c r="H379" s="67">
        <v>0.02</v>
      </c>
      <c r="I379" s="113">
        <v>0.0239</v>
      </c>
      <c r="J379" s="113">
        <v>0</v>
      </c>
      <c r="K379" s="113">
        <v>0.0239</v>
      </c>
      <c r="L379" s="60">
        <f aca="true" t="shared" si="9" ref="L379:L384">+K379-((K379*0.078*0.125)+(K379*(1-0.078)*0.26))</f>
        <v>0.017937667</v>
      </c>
      <c r="M379" s="60">
        <f t="shared" si="8"/>
        <v>0.017937667</v>
      </c>
      <c r="N379" s="67" t="s">
        <v>249</v>
      </c>
    </row>
    <row r="380" spans="1:14" s="30" customFormat="1" ht="23.25" customHeight="1">
      <c r="A380" s="40" t="s">
        <v>112</v>
      </c>
      <c r="B380" s="12" t="s">
        <v>137</v>
      </c>
      <c r="C380" s="64" t="s">
        <v>389</v>
      </c>
      <c r="D380" s="12" t="s">
        <v>410</v>
      </c>
      <c r="E380" s="65">
        <v>44039</v>
      </c>
      <c r="F380" s="66">
        <v>44040</v>
      </c>
      <c r="G380" s="66">
        <v>44043</v>
      </c>
      <c r="H380" s="67">
        <v>0.035</v>
      </c>
      <c r="I380" s="113">
        <v>0.0441</v>
      </c>
      <c r="J380" s="113">
        <v>0</v>
      </c>
      <c r="K380" s="113">
        <v>0.0441</v>
      </c>
      <c r="L380" s="60">
        <f t="shared" si="9"/>
        <v>0.033098373</v>
      </c>
      <c r="M380" s="60">
        <f t="shared" si="8"/>
        <v>0.033098373</v>
      </c>
      <c r="N380" s="67" t="s">
        <v>249</v>
      </c>
    </row>
    <row r="381" spans="1:199" s="129" customFormat="1" ht="23.25" customHeight="1">
      <c r="A381" s="40" t="s">
        <v>110</v>
      </c>
      <c r="B381" s="12" t="s">
        <v>135</v>
      </c>
      <c r="C381" s="64" t="s">
        <v>390</v>
      </c>
      <c r="D381" s="12" t="s">
        <v>410</v>
      </c>
      <c r="E381" s="65">
        <v>44039</v>
      </c>
      <c r="F381" s="66">
        <v>44040</v>
      </c>
      <c r="G381" s="66">
        <v>44043</v>
      </c>
      <c r="H381" s="67">
        <v>0.045</v>
      </c>
      <c r="I381" s="113">
        <v>0.057</v>
      </c>
      <c r="J381" s="113">
        <v>0</v>
      </c>
      <c r="K381" s="113">
        <v>0.057</v>
      </c>
      <c r="L381" s="60">
        <f t="shared" si="9"/>
        <v>0.04278021</v>
      </c>
      <c r="M381" s="60">
        <f t="shared" si="8"/>
        <v>0.04278021</v>
      </c>
      <c r="N381" s="67" t="s">
        <v>249</v>
      </c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</row>
    <row r="382" spans="1:199" s="129" customFormat="1" ht="23.25" customHeight="1">
      <c r="A382" s="40" t="s">
        <v>113</v>
      </c>
      <c r="B382" s="12" t="s">
        <v>170</v>
      </c>
      <c r="C382" s="74" t="s">
        <v>391</v>
      </c>
      <c r="D382" s="12" t="s">
        <v>410</v>
      </c>
      <c r="E382" s="107">
        <v>44039</v>
      </c>
      <c r="F382" s="107">
        <v>44040</v>
      </c>
      <c r="G382" s="107">
        <v>44043</v>
      </c>
      <c r="H382" s="67">
        <v>0.02</v>
      </c>
      <c r="I382" s="113">
        <v>0.0238</v>
      </c>
      <c r="J382" s="113">
        <v>0</v>
      </c>
      <c r="K382" s="113">
        <v>0.0238</v>
      </c>
      <c r="L382" s="60">
        <f t="shared" si="9"/>
        <v>0.017862614</v>
      </c>
      <c r="M382" s="60">
        <f t="shared" si="8"/>
        <v>0.017862614</v>
      </c>
      <c r="N382" s="73" t="s">
        <v>249</v>
      </c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</row>
    <row r="383" spans="1:199" s="30" customFormat="1" ht="23.25" customHeight="1">
      <c r="A383" s="40" t="s">
        <v>114</v>
      </c>
      <c r="B383" s="12" t="s">
        <v>171</v>
      </c>
      <c r="C383" s="74" t="s">
        <v>392</v>
      </c>
      <c r="D383" s="12" t="s">
        <v>410</v>
      </c>
      <c r="E383" s="107">
        <v>44039</v>
      </c>
      <c r="F383" s="107">
        <v>44040</v>
      </c>
      <c r="G383" s="107">
        <v>44043</v>
      </c>
      <c r="H383" s="67">
        <v>0.035</v>
      </c>
      <c r="I383" s="113">
        <v>0.0437</v>
      </c>
      <c r="J383" s="113">
        <v>0</v>
      </c>
      <c r="K383" s="113">
        <v>0.0437</v>
      </c>
      <c r="L383" s="60">
        <f t="shared" si="9"/>
        <v>0.032798161</v>
      </c>
      <c r="M383" s="60">
        <f t="shared" si="8"/>
        <v>0.032798161</v>
      </c>
      <c r="N383" s="73" t="s">
        <v>249</v>
      </c>
      <c r="GP383" s="94"/>
      <c r="GQ383" s="94"/>
    </row>
    <row r="384" spans="1:14" s="30" customFormat="1" ht="23.25" customHeight="1">
      <c r="A384" s="40" t="s">
        <v>120</v>
      </c>
      <c r="B384" s="12" t="s">
        <v>172</v>
      </c>
      <c r="C384" s="74" t="s">
        <v>393</v>
      </c>
      <c r="D384" s="12" t="s">
        <v>410</v>
      </c>
      <c r="E384" s="107">
        <v>44039</v>
      </c>
      <c r="F384" s="107">
        <v>44040</v>
      </c>
      <c r="G384" s="107">
        <v>44043</v>
      </c>
      <c r="H384" s="67">
        <v>0.045</v>
      </c>
      <c r="I384" s="113">
        <v>0.0566</v>
      </c>
      <c r="J384" s="113">
        <v>0</v>
      </c>
      <c r="K384" s="113">
        <v>0.0566</v>
      </c>
      <c r="L384" s="60">
        <f t="shared" si="9"/>
        <v>0.042479998</v>
      </c>
      <c r="M384" s="60">
        <f t="shared" si="8"/>
        <v>0.042479998</v>
      </c>
      <c r="N384" s="73" t="s">
        <v>249</v>
      </c>
    </row>
    <row r="385" spans="1:199" s="30" customFormat="1" ht="23.25" customHeight="1">
      <c r="A385" s="40" t="s">
        <v>74</v>
      </c>
      <c r="B385" s="12" t="s">
        <v>154</v>
      </c>
      <c r="C385" s="64" t="s">
        <v>399</v>
      </c>
      <c r="D385" s="12" t="s">
        <v>498</v>
      </c>
      <c r="E385" s="107">
        <v>44039</v>
      </c>
      <c r="F385" s="107">
        <v>44040</v>
      </c>
      <c r="G385" s="107">
        <v>44043</v>
      </c>
      <c r="H385" s="67">
        <v>0.055</v>
      </c>
      <c r="I385" s="113">
        <v>0.1097</v>
      </c>
      <c r="J385" s="113">
        <v>0</v>
      </c>
      <c r="K385" s="113">
        <v>0.1097</v>
      </c>
      <c r="L385" s="60">
        <f>+K385-((K385*0.1813*0.125)+(K385*(1-0.1813)*0.26))</f>
        <v>0.08386296235</v>
      </c>
      <c r="M385" s="60">
        <f t="shared" si="8"/>
        <v>0.08386296235</v>
      </c>
      <c r="N385" s="67" t="s">
        <v>250</v>
      </c>
      <c r="GP385" s="94"/>
      <c r="GQ385" s="94"/>
    </row>
    <row r="386" spans="1:14" s="30" customFormat="1" ht="23.25" customHeight="1">
      <c r="A386" s="40" t="s">
        <v>38</v>
      </c>
      <c r="B386" s="12" t="s">
        <v>169</v>
      </c>
      <c r="C386" s="74" t="s">
        <v>400</v>
      </c>
      <c r="D386" s="12" t="s">
        <v>410</v>
      </c>
      <c r="E386" s="107">
        <v>44039</v>
      </c>
      <c r="F386" s="107">
        <v>44040</v>
      </c>
      <c r="G386" s="107">
        <v>44043</v>
      </c>
      <c r="H386" s="67">
        <v>0.055</v>
      </c>
      <c r="I386" s="113">
        <v>0.0617</v>
      </c>
      <c r="J386" s="113">
        <v>0</v>
      </c>
      <c r="K386" s="113">
        <v>0.0617</v>
      </c>
      <c r="L386" s="60">
        <f>+K386-((K386*0.1813*0.125)+(K386*(1-0.1813)*0.26))</f>
        <v>0.04716813835</v>
      </c>
      <c r="M386" s="60">
        <f t="shared" si="8"/>
        <v>0.04716813835</v>
      </c>
      <c r="N386" s="73" t="s">
        <v>249</v>
      </c>
    </row>
    <row r="387" spans="1:252" s="30" customFormat="1" ht="23.25" customHeight="1">
      <c r="A387" s="40"/>
      <c r="B387" s="12" t="s">
        <v>514</v>
      </c>
      <c r="C387" s="64" t="s">
        <v>515</v>
      </c>
      <c r="D387" s="12" t="s">
        <v>411</v>
      </c>
      <c r="E387" s="65">
        <v>44043</v>
      </c>
      <c r="F387" s="66">
        <v>44046</v>
      </c>
      <c r="G387" s="66">
        <v>44049</v>
      </c>
      <c r="H387" s="128">
        <v>0.03</v>
      </c>
      <c r="I387" s="60">
        <v>0.1916</v>
      </c>
      <c r="J387" s="113">
        <v>0.06925423176686588</v>
      </c>
      <c r="K387" s="113">
        <v>0.12234576823313412</v>
      </c>
      <c r="L387" s="60">
        <f>+K387-((K387*0.9057*0.125)+(K387*(1-0.9057)*0.26))</f>
        <v>0.10549502440150044</v>
      </c>
      <c r="M387" s="60">
        <f t="shared" si="8"/>
        <v>0.1747492561683663</v>
      </c>
      <c r="N387" s="67" t="s">
        <v>251</v>
      </c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</row>
    <row r="388" spans="1:252" s="129" customFormat="1" ht="23.25" customHeight="1">
      <c r="A388" s="40"/>
      <c r="B388" s="12" t="s">
        <v>310</v>
      </c>
      <c r="C388" s="64" t="s">
        <v>424</v>
      </c>
      <c r="D388" s="12" t="s">
        <v>411</v>
      </c>
      <c r="E388" s="65">
        <v>44043</v>
      </c>
      <c r="F388" s="66">
        <v>44046</v>
      </c>
      <c r="G388" s="66">
        <v>44049</v>
      </c>
      <c r="H388" s="70">
        <v>0.05</v>
      </c>
      <c r="I388" s="60">
        <v>0.0209</v>
      </c>
      <c r="J388" s="113">
        <v>0.008255294909182802</v>
      </c>
      <c r="K388" s="113">
        <v>0.012644705090817197</v>
      </c>
      <c r="L388" s="60">
        <f>+K388-((K388*0.03783*0.125)+(K388*(1-0.089)*0.26))</f>
        <v>0.009589886593808033</v>
      </c>
      <c r="M388" s="60">
        <f t="shared" si="8"/>
        <v>0.017845181502990835</v>
      </c>
      <c r="N388" s="67" t="s">
        <v>251</v>
      </c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94"/>
      <c r="GQ388" s="94"/>
      <c r="IR388" s="244"/>
    </row>
    <row r="389" spans="1:252" s="129" customFormat="1" ht="23.25" customHeight="1">
      <c r="A389" s="40" t="s">
        <v>188</v>
      </c>
      <c r="B389" s="12" t="s">
        <v>188</v>
      </c>
      <c r="C389" s="69" t="s">
        <v>339</v>
      </c>
      <c r="D389" s="12" t="s">
        <v>411</v>
      </c>
      <c r="E389" s="65">
        <v>44043</v>
      </c>
      <c r="F389" s="66">
        <v>44046</v>
      </c>
      <c r="G389" s="66">
        <v>44049</v>
      </c>
      <c r="H389" s="70">
        <v>0.05</v>
      </c>
      <c r="I389" s="60">
        <v>0.3655</v>
      </c>
      <c r="J389" s="113">
        <v>0.1546850932981795</v>
      </c>
      <c r="K389" s="113">
        <v>0.2108149067018205</v>
      </c>
      <c r="L389" s="60">
        <f>+K389-((K389*0.03783*0.125)+(K389*(1-0.089)*0.26))</f>
        <v>0.15988439691036105</v>
      </c>
      <c r="M389" s="60">
        <f t="shared" si="8"/>
        <v>0.3145694902085405</v>
      </c>
      <c r="N389" s="67" t="s">
        <v>251</v>
      </c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94"/>
    </row>
    <row r="390" spans="1:252" s="129" customFormat="1" ht="23.25" customHeight="1">
      <c r="A390" s="40" t="s">
        <v>196</v>
      </c>
      <c r="B390" s="12" t="s">
        <v>196</v>
      </c>
      <c r="C390" s="74" t="s">
        <v>340</v>
      </c>
      <c r="D390" s="73" t="s">
        <v>411</v>
      </c>
      <c r="E390" s="65">
        <v>44043</v>
      </c>
      <c r="F390" s="66">
        <v>44046</v>
      </c>
      <c r="G390" s="66">
        <v>44049</v>
      </c>
      <c r="H390" s="70">
        <v>0.05</v>
      </c>
      <c r="I390" s="60">
        <v>0.3778</v>
      </c>
      <c r="J390" s="113">
        <v>0.12784148128713416</v>
      </c>
      <c r="K390" s="113">
        <v>0.24995851871286587</v>
      </c>
      <c r="L390" s="60">
        <f>+K390-((K390*0.03783*0.125)+(K390*(1-0.089)*0.26))</f>
        <v>0.189571352625173</v>
      </c>
      <c r="M390" s="60">
        <f aca="true" t="shared" si="10" ref="M390:M413">J390+L390</f>
        <v>0.3174128339123071</v>
      </c>
      <c r="N390" s="67" t="s">
        <v>251</v>
      </c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94"/>
      <c r="GQ390" s="94"/>
      <c r="IR390" s="244"/>
    </row>
    <row r="391" spans="1:199" s="129" customFormat="1" ht="23.25" customHeight="1">
      <c r="A391" s="40" t="s">
        <v>229</v>
      </c>
      <c r="B391" s="12" t="s">
        <v>191</v>
      </c>
      <c r="C391" s="69" t="s">
        <v>346</v>
      </c>
      <c r="D391" s="12" t="s">
        <v>411</v>
      </c>
      <c r="E391" s="65">
        <v>44043</v>
      </c>
      <c r="F391" s="66">
        <v>44046</v>
      </c>
      <c r="G391" s="66">
        <v>44049</v>
      </c>
      <c r="H391" s="67">
        <v>0.035</v>
      </c>
      <c r="I391" s="60">
        <v>0.0147</v>
      </c>
      <c r="J391" s="113">
        <v>0.005476250861775478</v>
      </c>
      <c r="K391" s="113">
        <v>0.009223749138224522</v>
      </c>
      <c r="L391" s="60">
        <f>+K391-((K391*0.7742*0.125)+(K391*(1-0.7742)*0.26))</f>
        <v>0.007789612950965958</v>
      </c>
      <c r="M391" s="60">
        <f t="shared" si="10"/>
        <v>0.013265863812741436</v>
      </c>
      <c r="N391" s="67" t="s">
        <v>251</v>
      </c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</row>
    <row r="392" spans="1:199" s="129" customFormat="1" ht="23.25" customHeight="1">
      <c r="A392" s="40" t="s">
        <v>231</v>
      </c>
      <c r="B392" s="12" t="s">
        <v>199</v>
      </c>
      <c r="C392" s="74" t="s">
        <v>347</v>
      </c>
      <c r="D392" s="73" t="s">
        <v>411</v>
      </c>
      <c r="E392" s="65">
        <v>44043</v>
      </c>
      <c r="F392" s="66">
        <v>44046</v>
      </c>
      <c r="G392" s="66">
        <v>44049</v>
      </c>
      <c r="H392" s="67">
        <v>0.035</v>
      </c>
      <c r="I392" s="60">
        <v>0.0147</v>
      </c>
      <c r="J392" s="113">
        <v>0.0036776869903904115</v>
      </c>
      <c r="K392" s="113">
        <v>0.011022313009609588</v>
      </c>
      <c r="L392" s="60">
        <f>+K392-((K392*0.7742*0.125)+(K392*(1-0.7742)*0.26))</f>
        <v>0.00930853071593646</v>
      </c>
      <c r="M392" s="60">
        <f t="shared" si="10"/>
        <v>0.012986217706326872</v>
      </c>
      <c r="N392" s="67" t="s">
        <v>251</v>
      </c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</row>
    <row r="393" spans="1:199" s="129" customFormat="1" ht="23.25" customHeight="1">
      <c r="A393" s="40"/>
      <c r="B393" s="12" t="s">
        <v>306</v>
      </c>
      <c r="C393" s="64" t="s">
        <v>430</v>
      </c>
      <c r="D393" s="12" t="s">
        <v>411</v>
      </c>
      <c r="E393" s="65">
        <v>44043</v>
      </c>
      <c r="F393" s="66">
        <v>44046</v>
      </c>
      <c r="G393" s="66">
        <v>44049</v>
      </c>
      <c r="H393" s="67">
        <v>0.02</v>
      </c>
      <c r="I393" s="60">
        <v>0.0084</v>
      </c>
      <c r="J393" s="113">
        <v>0.0024700000000000004</v>
      </c>
      <c r="K393" s="113">
        <v>0.0059299999999999995</v>
      </c>
      <c r="L393" s="60">
        <f aca="true" t="shared" si="11" ref="L393:L398">+K393-((K393*0.0000001*0.125)+(K393*(1-0.0000001)*0.26))</f>
        <v>0.004388200080054999</v>
      </c>
      <c r="M393" s="60">
        <f t="shared" si="10"/>
        <v>0.006858200080054999</v>
      </c>
      <c r="N393" s="67" t="s">
        <v>251</v>
      </c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</row>
    <row r="394" spans="1:199" s="129" customFormat="1" ht="23.25" customHeight="1">
      <c r="A394" s="40" t="s">
        <v>184</v>
      </c>
      <c r="B394" s="12" t="s">
        <v>184</v>
      </c>
      <c r="C394" s="69" t="s">
        <v>354</v>
      </c>
      <c r="D394" s="12" t="s">
        <v>411</v>
      </c>
      <c r="E394" s="65">
        <v>44043</v>
      </c>
      <c r="F394" s="66">
        <v>44046</v>
      </c>
      <c r="G394" s="66">
        <v>44049</v>
      </c>
      <c r="H394" s="67">
        <v>0.02</v>
      </c>
      <c r="I394" s="60">
        <v>0.1688</v>
      </c>
      <c r="J394" s="113">
        <v>0.05886642743608859</v>
      </c>
      <c r="K394" s="113">
        <v>0.10993357256391142</v>
      </c>
      <c r="L394" s="60">
        <f t="shared" si="11"/>
        <v>0.08135084518139768</v>
      </c>
      <c r="M394" s="60">
        <f t="shared" si="10"/>
        <v>0.14021727261748626</v>
      </c>
      <c r="N394" s="67" t="s">
        <v>251</v>
      </c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</row>
    <row r="395" spans="1:199" s="129" customFormat="1" ht="23.25" customHeight="1">
      <c r="A395" s="40" t="s">
        <v>192</v>
      </c>
      <c r="B395" s="12" t="s">
        <v>192</v>
      </c>
      <c r="C395" s="74" t="s">
        <v>355</v>
      </c>
      <c r="D395" s="73" t="s">
        <v>411</v>
      </c>
      <c r="E395" s="65">
        <v>44043</v>
      </c>
      <c r="F395" s="66">
        <v>44046</v>
      </c>
      <c r="G395" s="66">
        <v>44049</v>
      </c>
      <c r="H395" s="67">
        <v>0.02</v>
      </c>
      <c r="I395" s="60">
        <v>0.1698</v>
      </c>
      <c r="J395" s="113">
        <v>0.022380421757759485</v>
      </c>
      <c r="K395" s="113">
        <v>0.14741957824224053</v>
      </c>
      <c r="L395" s="60">
        <f t="shared" si="11"/>
        <v>0.1090904898894223</v>
      </c>
      <c r="M395" s="60">
        <f t="shared" si="10"/>
        <v>0.13147091164718178</v>
      </c>
      <c r="N395" s="67" t="s">
        <v>251</v>
      </c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</row>
    <row r="396" spans="1:199" s="129" customFormat="1" ht="23.25" customHeight="1">
      <c r="A396" s="40"/>
      <c r="B396" s="12" t="s">
        <v>311</v>
      </c>
      <c r="C396" s="64" t="s">
        <v>425</v>
      </c>
      <c r="D396" s="12" t="s">
        <v>411</v>
      </c>
      <c r="E396" s="65">
        <v>44043</v>
      </c>
      <c r="F396" s="66">
        <v>44046</v>
      </c>
      <c r="G396" s="66">
        <v>44049</v>
      </c>
      <c r="H396" s="67">
        <v>0.01</v>
      </c>
      <c r="I396" s="60">
        <v>0.0042</v>
      </c>
      <c r="J396" s="113">
        <v>0</v>
      </c>
      <c r="K396" s="113">
        <v>0.0042</v>
      </c>
      <c r="L396" s="60">
        <f t="shared" si="11"/>
        <v>0.0031080000567</v>
      </c>
      <c r="M396" s="60">
        <f t="shared" si="10"/>
        <v>0.0031080000567</v>
      </c>
      <c r="N396" s="67" t="s">
        <v>251</v>
      </c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</row>
    <row r="397" spans="1:199" s="129" customFormat="1" ht="23.25" customHeight="1">
      <c r="A397" s="40" t="s">
        <v>189</v>
      </c>
      <c r="B397" s="12" t="s">
        <v>189</v>
      </c>
      <c r="C397" s="69" t="s">
        <v>356</v>
      </c>
      <c r="D397" s="12" t="s">
        <v>411</v>
      </c>
      <c r="E397" s="65">
        <v>44043</v>
      </c>
      <c r="F397" s="66">
        <v>44046</v>
      </c>
      <c r="G397" s="66">
        <v>44049</v>
      </c>
      <c r="H397" s="67">
        <v>0.01</v>
      </c>
      <c r="I397" s="60">
        <v>0.0763</v>
      </c>
      <c r="J397" s="113">
        <v>0</v>
      </c>
      <c r="K397" s="113">
        <v>0.0763</v>
      </c>
      <c r="L397" s="60">
        <f t="shared" si="11"/>
        <v>0.05646200103005</v>
      </c>
      <c r="M397" s="60">
        <f t="shared" si="10"/>
        <v>0.05646200103005</v>
      </c>
      <c r="N397" s="67" t="s">
        <v>251</v>
      </c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</row>
    <row r="398" spans="1:199" s="129" customFormat="1" ht="23.25" customHeight="1">
      <c r="A398" s="40" t="s">
        <v>197</v>
      </c>
      <c r="B398" s="12" t="s">
        <v>197</v>
      </c>
      <c r="C398" s="74" t="s">
        <v>357</v>
      </c>
      <c r="D398" s="73" t="s">
        <v>411</v>
      </c>
      <c r="E398" s="65">
        <v>44043</v>
      </c>
      <c r="F398" s="66">
        <v>44046</v>
      </c>
      <c r="G398" s="66">
        <v>44049</v>
      </c>
      <c r="H398" s="67">
        <v>0.01</v>
      </c>
      <c r="I398" s="60">
        <v>0.0774</v>
      </c>
      <c r="J398" s="113">
        <v>0</v>
      </c>
      <c r="K398" s="113">
        <v>0.0774</v>
      </c>
      <c r="L398" s="60">
        <f t="shared" si="11"/>
        <v>0.05727600104489999</v>
      </c>
      <c r="M398" s="60">
        <f t="shared" si="10"/>
        <v>0.05727600104489999</v>
      </c>
      <c r="N398" s="67" t="s">
        <v>251</v>
      </c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</row>
    <row r="399" spans="1:199" s="129" customFormat="1" ht="23.25" customHeight="1">
      <c r="A399" s="40"/>
      <c r="B399" s="12" t="s">
        <v>308</v>
      </c>
      <c r="C399" s="64" t="s">
        <v>426</v>
      </c>
      <c r="D399" s="12" t="s">
        <v>411</v>
      </c>
      <c r="E399" s="65">
        <v>44043</v>
      </c>
      <c r="F399" s="66">
        <v>44046</v>
      </c>
      <c r="G399" s="66">
        <v>44049</v>
      </c>
      <c r="H399" s="67">
        <v>0.015</v>
      </c>
      <c r="I399" s="60">
        <v>0.0062</v>
      </c>
      <c r="J399" s="113">
        <v>0.0005137450971805758</v>
      </c>
      <c r="K399" s="113">
        <v>0.005686254902819424</v>
      </c>
      <c r="L399" s="60">
        <f>+K399-((K399*0.4996*0.125)+(K399*(1-0.4996)*0.26))</f>
        <v>0.004591343776261933</v>
      </c>
      <c r="M399" s="60">
        <f t="shared" si="10"/>
        <v>0.005105088873442508</v>
      </c>
      <c r="N399" s="67" t="s">
        <v>251</v>
      </c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</row>
    <row r="400" spans="1:199" s="129" customFormat="1" ht="23.25" customHeight="1">
      <c r="A400" s="40" t="s">
        <v>186</v>
      </c>
      <c r="B400" s="12" t="s">
        <v>186</v>
      </c>
      <c r="C400" s="69" t="s">
        <v>363</v>
      </c>
      <c r="D400" s="12" t="s">
        <v>411</v>
      </c>
      <c r="E400" s="65">
        <v>44043</v>
      </c>
      <c r="F400" s="66">
        <v>44046</v>
      </c>
      <c r="G400" s="66">
        <v>44049</v>
      </c>
      <c r="H400" s="67">
        <v>0.015</v>
      </c>
      <c r="I400" s="60">
        <v>0.114</v>
      </c>
      <c r="J400" s="113">
        <v>0.020800612532113166</v>
      </c>
      <c r="K400" s="113">
        <v>0.09319938746788684</v>
      </c>
      <c r="L400" s="60">
        <f>+K400-((K400*0.4996*0.125)+(K400*(1-0.4996)*0.26))</f>
        <v>0.07525347261339535</v>
      </c>
      <c r="M400" s="60">
        <f t="shared" si="10"/>
        <v>0.09605408514550852</v>
      </c>
      <c r="N400" s="67" t="s">
        <v>251</v>
      </c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</row>
    <row r="401" spans="1:199" s="129" customFormat="1" ht="23.25" customHeight="1">
      <c r="A401" s="40" t="s">
        <v>194</v>
      </c>
      <c r="B401" s="12" t="s">
        <v>194</v>
      </c>
      <c r="C401" s="74" t="s">
        <v>364</v>
      </c>
      <c r="D401" s="73" t="s">
        <v>411</v>
      </c>
      <c r="E401" s="65">
        <v>44043</v>
      </c>
      <c r="F401" s="66">
        <v>44046</v>
      </c>
      <c r="G401" s="66">
        <v>44049</v>
      </c>
      <c r="H401" s="67">
        <v>0.015</v>
      </c>
      <c r="I401" s="60">
        <v>0.1168</v>
      </c>
      <c r="J401" s="113">
        <v>0</v>
      </c>
      <c r="K401" s="113">
        <v>0.1168</v>
      </c>
      <c r="L401" s="60">
        <f>+K401-((K401*0.4996*0.125)+(K401*(1-0.4996)*0.26))</f>
        <v>0.0943096928</v>
      </c>
      <c r="M401" s="60">
        <f t="shared" si="10"/>
        <v>0.0943096928</v>
      </c>
      <c r="N401" s="67" t="s">
        <v>251</v>
      </c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</row>
    <row r="402" spans="1:199" s="129" customFormat="1" ht="23.25" customHeight="1">
      <c r="A402" s="40"/>
      <c r="B402" s="12" t="s">
        <v>307</v>
      </c>
      <c r="C402" s="64" t="s">
        <v>420</v>
      </c>
      <c r="D402" s="12" t="s">
        <v>411</v>
      </c>
      <c r="E402" s="65">
        <v>44043</v>
      </c>
      <c r="F402" s="66">
        <v>44046</v>
      </c>
      <c r="G402" s="66">
        <v>44049</v>
      </c>
      <c r="H402" s="67">
        <v>0.015</v>
      </c>
      <c r="I402" s="60">
        <v>0.0062</v>
      </c>
      <c r="J402" s="113">
        <v>0.0022236310391973305</v>
      </c>
      <c r="K402" s="113">
        <v>0.003976368960802669</v>
      </c>
      <c r="L402" s="60">
        <f>+K402-((K402*0.619*0.125)+(K402*(1-0.619)*0.26))</f>
        <v>0.0032747983032034504</v>
      </c>
      <c r="M402" s="60">
        <f t="shared" si="10"/>
        <v>0.0054984293424007805</v>
      </c>
      <c r="N402" s="67" t="s">
        <v>251</v>
      </c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</row>
    <row r="403" spans="1:199" s="129" customFormat="1" ht="23.25" customHeight="1">
      <c r="A403" s="40" t="s">
        <v>185</v>
      </c>
      <c r="B403" s="12" t="s">
        <v>185</v>
      </c>
      <c r="C403" s="69" t="s">
        <v>366</v>
      </c>
      <c r="D403" s="12" t="s">
        <v>411</v>
      </c>
      <c r="E403" s="65">
        <v>44043</v>
      </c>
      <c r="F403" s="66">
        <v>44046</v>
      </c>
      <c r="G403" s="66">
        <v>44049</v>
      </c>
      <c r="H403" s="67">
        <v>0.015</v>
      </c>
      <c r="I403" s="60">
        <v>0.1039</v>
      </c>
      <c r="J403" s="113">
        <v>0.04724233170952751</v>
      </c>
      <c r="K403" s="113">
        <v>0.056657668290472495</v>
      </c>
      <c r="L403" s="60">
        <f>+K403-((K403*0.619*0.125)+(K403*(1-0.619)*0.26))</f>
        <v>0.04666127258564298</v>
      </c>
      <c r="M403" s="60">
        <f t="shared" si="10"/>
        <v>0.0939036042951705</v>
      </c>
      <c r="N403" s="67" t="s">
        <v>251</v>
      </c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</row>
    <row r="404" spans="1:199" s="129" customFormat="1" ht="23.25" customHeight="1">
      <c r="A404" s="40" t="s">
        <v>193</v>
      </c>
      <c r="B404" s="12" t="s">
        <v>193</v>
      </c>
      <c r="C404" s="74" t="s">
        <v>367</v>
      </c>
      <c r="D404" s="73" t="s">
        <v>411</v>
      </c>
      <c r="E404" s="65">
        <v>44043</v>
      </c>
      <c r="F404" s="66">
        <v>44046</v>
      </c>
      <c r="G404" s="66">
        <v>44049</v>
      </c>
      <c r="H404" s="67">
        <v>0.015</v>
      </c>
      <c r="I404" s="60">
        <v>0.1009</v>
      </c>
      <c r="J404" s="113">
        <v>0.01616489426549061</v>
      </c>
      <c r="K404" s="113">
        <v>0.08473510573450939</v>
      </c>
      <c r="L404" s="60">
        <f>+K404-((K404*0.619*0.125)+(K404*(1-0.619)*0.26))</f>
        <v>0.06978486735424122</v>
      </c>
      <c r="M404" s="60">
        <f t="shared" si="10"/>
        <v>0.08594976161973183</v>
      </c>
      <c r="N404" s="67" t="s">
        <v>251</v>
      </c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</row>
    <row r="405" spans="1:199" s="129" customFormat="1" ht="23.25" customHeight="1">
      <c r="A405" s="40"/>
      <c r="B405" s="12" t="s">
        <v>309</v>
      </c>
      <c r="C405" s="64" t="s">
        <v>427</v>
      </c>
      <c r="D405" s="12" t="s">
        <v>411</v>
      </c>
      <c r="E405" s="65">
        <v>44043</v>
      </c>
      <c r="F405" s="66">
        <v>44046</v>
      </c>
      <c r="G405" s="66">
        <v>44049</v>
      </c>
      <c r="H405" s="67">
        <v>0.035</v>
      </c>
      <c r="I405" s="60">
        <v>0.0145</v>
      </c>
      <c r="J405" s="113">
        <v>0.009885163635341894</v>
      </c>
      <c r="K405" s="113">
        <v>0.004614836364658106</v>
      </c>
      <c r="L405" s="60">
        <f>+K405-((K405*0.0000001*0.125)+(K405*(1-0.0000001)*0.26))</f>
        <v>0.0034149789721472897</v>
      </c>
      <c r="M405" s="60">
        <f t="shared" si="10"/>
        <v>0.013300142607489185</v>
      </c>
      <c r="N405" s="67" t="s">
        <v>251</v>
      </c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</row>
    <row r="406" spans="1:199" s="129" customFormat="1" ht="23.25" customHeight="1">
      <c r="A406" s="40" t="s">
        <v>187</v>
      </c>
      <c r="B406" s="12" t="s">
        <v>187</v>
      </c>
      <c r="C406" s="69" t="s">
        <v>368</v>
      </c>
      <c r="D406" s="12" t="s">
        <v>411</v>
      </c>
      <c r="E406" s="65">
        <v>44043</v>
      </c>
      <c r="F406" s="66">
        <v>44046</v>
      </c>
      <c r="G406" s="66">
        <v>44049</v>
      </c>
      <c r="H406" s="67">
        <v>0.035</v>
      </c>
      <c r="I406" s="60">
        <v>0.2568</v>
      </c>
      <c r="J406" s="113">
        <v>0.1853769899316199</v>
      </c>
      <c r="K406" s="113">
        <v>0.07142301006838006</v>
      </c>
      <c r="L406" s="60">
        <f>+K406-((K406*0.0000001*0.125)+(K406*(1-0.0000001)*0.26))</f>
        <v>0.052853028414811876</v>
      </c>
      <c r="M406" s="60">
        <f t="shared" si="10"/>
        <v>0.2382300183464318</v>
      </c>
      <c r="N406" s="67" t="s">
        <v>251</v>
      </c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</row>
    <row r="407" spans="1:199" s="129" customFormat="1" ht="23.25" customHeight="1">
      <c r="A407" s="40" t="s">
        <v>195</v>
      </c>
      <c r="B407" s="12" t="s">
        <v>195</v>
      </c>
      <c r="C407" s="74" t="s">
        <v>369</v>
      </c>
      <c r="D407" s="73" t="s">
        <v>411</v>
      </c>
      <c r="E407" s="65">
        <v>44043</v>
      </c>
      <c r="F407" s="66">
        <v>44046</v>
      </c>
      <c r="G407" s="66">
        <v>44049</v>
      </c>
      <c r="H407" s="67">
        <v>0.035</v>
      </c>
      <c r="I407" s="60">
        <v>0.264</v>
      </c>
      <c r="J407" s="113">
        <v>0.15626730190951904</v>
      </c>
      <c r="K407" s="113">
        <v>0.10773269809048096</v>
      </c>
      <c r="L407" s="60">
        <f>+K407-((K407*0.0000001*0.125)+(K407*(1-0.0000001)*0.26))</f>
        <v>0.07972219804134734</v>
      </c>
      <c r="M407" s="60">
        <f t="shared" si="10"/>
        <v>0.23598949995086638</v>
      </c>
      <c r="N407" s="67" t="s">
        <v>251</v>
      </c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</row>
    <row r="408" spans="1:199" s="30" customFormat="1" ht="23.25" customHeight="1">
      <c r="A408" s="40"/>
      <c r="B408" s="12" t="s">
        <v>312</v>
      </c>
      <c r="C408" s="64" t="s">
        <v>428</v>
      </c>
      <c r="D408" s="12" t="s">
        <v>411</v>
      </c>
      <c r="E408" s="65">
        <v>44043</v>
      </c>
      <c r="F408" s="66">
        <v>44046</v>
      </c>
      <c r="G408" s="66">
        <v>44049</v>
      </c>
      <c r="H408" s="67">
        <v>0.05</v>
      </c>
      <c r="I408" s="60">
        <v>0.0211</v>
      </c>
      <c r="J408" s="113">
        <v>0.006044160973503824</v>
      </c>
      <c r="K408" s="113">
        <v>0.015055839026496176</v>
      </c>
      <c r="L408" s="60">
        <f>+K408-((K408*0.028*0.125)+(K408*(1-0.028)*0.26))</f>
        <v>0.011198231951127326</v>
      </c>
      <c r="M408" s="60">
        <f t="shared" si="10"/>
        <v>0.01724239292463115</v>
      </c>
      <c r="N408" s="67" t="s">
        <v>251</v>
      </c>
      <c r="GP408" s="94"/>
      <c r="GQ408" s="94"/>
    </row>
    <row r="409" spans="1:252" s="30" customFormat="1" ht="23.25" customHeight="1">
      <c r="A409" s="40" t="s">
        <v>190</v>
      </c>
      <c r="B409" s="12" t="s">
        <v>190</v>
      </c>
      <c r="C409" s="69" t="s">
        <v>370</v>
      </c>
      <c r="D409" s="12" t="s">
        <v>411</v>
      </c>
      <c r="E409" s="65">
        <v>44043</v>
      </c>
      <c r="F409" s="66">
        <v>44046</v>
      </c>
      <c r="G409" s="66">
        <v>44049</v>
      </c>
      <c r="H409" s="67">
        <v>0.05</v>
      </c>
      <c r="I409" s="60">
        <v>0.3999</v>
      </c>
      <c r="J409" s="113">
        <v>0.12197550523385448</v>
      </c>
      <c r="K409" s="113">
        <v>0.2779244947661455</v>
      </c>
      <c r="L409" s="60">
        <f>+K409-((K409*0.028*0.125)+(K409*(1-0.028)*0.26))</f>
        <v>0.2067146807171637</v>
      </c>
      <c r="M409" s="60">
        <f t="shared" si="10"/>
        <v>0.3286901859510182</v>
      </c>
      <c r="N409" s="67" t="s">
        <v>251</v>
      </c>
      <c r="GR409" s="129"/>
      <c r="GS409" s="129"/>
      <c r="GT409" s="129"/>
      <c r="GU409" s="129"/>
      <c r="GV409" s="129"/>
      <c r="GW409" s="129"/>
      <c r="GX409" s="129"/>
      <c r="GY409" s="129"/>
      <c r="GZ409" s="129"/>
      <c r="HA409" s="129"/>
      <c r="HB409" s="129"/>
      <c r="HC409" s="129"/>
      <c r="HD409" s="129"/>
      <c r="HE409" s="129"/>
      <c r="HF409" s="129"/>
      <c r="HG409" s="129"/>
      <c r="HH409" s="129"/>
      <c r="HI409" s="129"/>
      <c r="HJ409" s="129"/>
      <c r="HK409" s="129"/>
      <c r="HL409" s="129"/>
      <c r="HM409" s="129"/>
      <c r="HN409" s="129"/>
      <c r="HO409" s="129"/>
      <c r="HP409" s="129"/>
      <c r="HQ409" s="129"/>
      <c r="HR409" s="129"/>
      <c r="HS409" s="129"/>
      <c r="HT409" s="129"/>
      <c r="HU409" s="129"/>
      <c r="HV409" s="129"/>
      <c r="HW409" s="129"/>
      <c r="HX409" s="129"/>
      <c r="HY409" s="129"/>
      <c r="HZ409" s="129"/>
      <c r="IA409" s="129"/>
      <c r="IB409" s="129"/>
      <c r="IC409" s="129"/>
      <c r="ID409" s="129"/>
      <c r="IE409" s="129"/>
      <c r="IF409" s="129"/>
      <c r="IG409" s="129"/>
      <c r="IH409" s="129"/>
      <c r="II409" s="129"/>
      <c r="IJ409" s="129"/>
      <c r="IK409" s="129"/>
      <c r="IL409" s="129"/>
      <c r="IM409" s="129"/>
      <c r="IN409" s="129"/>
      <c r="IO409" s="129"/>
      <c r="IP409" s="129"/>
      <c r="IQ409" s="129"/>
      <c r="IR409" s="129"/>
    </row>
    <row r="410" spans="1:252" s="129" customFormat="1" ht="23.25" customHeight="1">
      <c r="A410" s="40" t="s">
        <v>198</v>
      </c>
      <c r="B410" s="12" t="s">
        <v>198</v>
      </c>
      <c r="C410" s="74" t="s">
        <v>371</v>
      </c>
      <c r="D410" s="73" t="s">
        <v>411</v>
      </c>
      <c r="E410" s="65">
        <v>44043</v>
      </c>
      <c r="F410" s="66">
        <v>44046</v>
      </c>
      <c r="G410" s="66">
        <v>44049</v>
      </c>
      <c r="H410" s="67">
        <v>0.05</v>
      </c>
      <c r="I410" s="60">
        <v>0.3995</v>
      </c>
      <c r="J410" s="113">
        <v>0.0912312366700448</v>
      </c>
      <c r="K410" s="113">
        <v>0.30826876332995523</v>
      </c>
      <c r="L410" s="60">
        <f>+K410-((K410*0.028*0.125)+(K410*(1-0.028)*0.26))</f>
        <v>0.22928414078955411</v>
      </c>
      <c r="M410" s="60">
        <f t="shared" si="10"/>
        <v>0.3205153774595989</v>
      </c>
      <c r="N410" s="67" t="s">
        <v>251</v>
      </c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94"/>
      <c r="GQ410" s="94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</row>
    <row r="411" spans="1:14" s="29" customFormat="1" ht="23.25" customHeight="1">
      <c r="A411" s="12"/>
      <c r="B411" s="12" t="s">
        <v>516</v>
      </c>
      <c r="C411" s="64" t="s">
        <v>518</v>
      </c>
      <c r="D411" s="12" t="s">
        <v>411</v>
      </c>
      <c r="E411" s="65">
        <v>44043</v>
      </c>
      <c r="F411" s="66">
        <v>44046</v>
      </c>
      <c r="G411" s="66">
        <v>44049</v>
      </c>
      <c r="H411" s="128">
        <v>0.02</v>
      </c>
      <c r="I411" s="60">
        <v>0.1357</v>
      </c>
      <c r="J411" s="113">
        <v>0.1357</v>
      </c>
      <c r="K411" s="113">
        <v>0</v>
      </c>
      <c r="L411" s="60">
        <f>+K411-((K411*0.4903*0.125)+(K411*(1-0.4903)*0.26))</f>
        <v>0</v>
      </c>
      <c r="M411" s="60">
        <f t="shared" si="10"/>
        <v>0.1357</v>
      </c>
      <c r="N411" s="67" t="s">
        <v>251</v>
      </c>
    </row>
    <row r="412" spans="1:14" s="29" customFormat="1" ht="23.25" customHeight="1">
      <c r="A412" s="12"/>
      <c r="B412" s="12" t="s">
        <v>517</v>
      </c>
      <c r="C412" s="64" t="s">
        <v>519</v>
      </c>
      <c r="D412" s="12" t="s">
        <v>411</v>
      </c>
      <c r="E412" s="65">
        <v>44043</v>
      </c>
      <c r="F412" s="66">
        <v>44046</v>
      </c>
      <c r="G412" s="66">
        <v>44049</v>
      </c>
      <c r="H412" s="128">
        <v>0.02</v>
      </c>
      <c r="I412" s="60">
        <v>0.1364</v>
      </c>
      <c r="J412" s="113">
        <v>0.1364</v>
      </c>
      <c r="K412" s="113">
        <v>0</v>
      </c>
      <c r="L412" s="60">
        <f>+K412-((K412*0.4903*0.125)+(K412*(1-0.4903)*0.26))</f>
        <v>0</v>
      </c>
      <c r="M412" s="60">
        <f t="shared" si="10"/>
        <v>0.1364</v>
      </c>
      <c r="N412" s="67" t="s">
        <v>251</v>
      </c>
    </row>
    <row r="413" spans="1:252" s="29" customFormat="1" ht="23.25" customHeight="1">
      <c r="A413" s="12"/>
      <c r="B413" s="12" t="s">
        <v>313</v>
      </c>
      <c r="C413" s="64" t="s">
        <v>429</v>
      </c>
      <c r="D413" s="12" t="s">
        <v>411</v>
      </c>
      <c r="E413" s="65">
        <v>44043</v>
      </c>
      <c r="F413" s="66">
        <v>44046</v>
      </c>
      <c r="G413" s="66">
        <v>44049</v>
      </c>
      <c r="H413" s="70">
        <v>0.0225</v>
      </c>
      <c r="I413" s="60">
        <v>0.0093</v>
      </c>
      <c r="J413" s="113">
        <v>0.0013792048543713532</v>
      </c>
      <c r="K413" s="113">
        <v>0.007920795145628646</v>
      </c>
      <c r="L413" s="60">
        <f>+K413-((K413*0.1466*0.125)+(K413*(1-0.1466)*0.26))</f>
        <v>0.0060181488644923346</v>
      </c>
      <c r="M413" s="60">
        <f t="shared" si="10"/>
        <v>0.007397353718863688</v>
      </c>
      <c r="N413" s="67" t="s">
        <v>251</v>
      </c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129"/>
      <c r="GS413" s="129"/>
      <c r="GT413" s="129"/>
      <c r="GU413" s="129"/>
      <c r="GV413" s="129"/>
      <c r="GW413" s="129"/>
      <c r="GX413" s="129"/>
      <c r="GY413" s="129"/>
      <c r="GZ413" s="129"/>
      <c r="HA413" s="129"/>
      <c r="HB413" s="129"/>
      <c r="HC413" s="129"/>
      <c r="HD413" s="129"/>
      <c r="HE413" s="129"/>
      <c r="HF413" s="129"/>
      <c r="HG413" s="129"/>
      <c r="HH413" s="129"/>
      <c r="HI413" s="129"/>
      <c r="HJ413" s="129"/>
      <c r="HK413" s="129"/>
      <c r="HL413" s="129"/>
      <c r="HM413" s="129"/>
      <c r="HN413" s="129"/>
      <c r="HO413" s="129"/>
      <c r="HP413" s="129"/>
      <c r="HQ413" s="129"/>
      <c r="HR413" s="129"/>
      <c r="HS413" s="129"/>
      <c r="HT413" s="129"/>
      <c r="HU413" s="129"/>
      <c r="HV413" s="129"/>
      <c r="HW413" s="129"/>
      <c r="HX413" s="129"/>
      <c r="HY413" s="129"/>
      <c r="HZ413" s="129"/>
      <c r="IA413" s="129"/>
      <c r="IB413" s="129"/>
      <c r="IC413" s="129"/>
      <c r="ID413" s="129"/>
      <c r="IE413" s="129"/>
      <c r="IF413" s="129"/>
      <c r="IG413" s="129"/>
      <c r="IH413" s="129"/>
      <c r="II413" s="129"/>
      <c r="IJ413" s="129"/>
      <c r="IK413" s="129"/>
      <c r="IL413" s="129"/>
      <c r="IM413" s="129"/>
      <c r="IN413" s="129"/>
      <c r="IO413" s="129"/>
      <c r="IP413" s="129"/>
      <c r="IQ413" s="129"/>
      <c r="IR413" s="129"/>
    </row>
    <row r="414" spans="1:252" s="4" customFormat="1" ht="23.25" customHeight="1">
      <c r="A414" s="40"/>
      <c r="B414" s="12" t="s">
        <v>514</v>
      </c>
      <c r="C414" s="64" t="s">
        <v>515</v>
      </c>
      <c r="D414" s="12" t="s">
        <v>411</v>
      </c>
      <c r="E414" s="65">
        <v>44074</v>
      </c>
      <c r="F414" s="66">
        <v>44075</v>
      </c>
      <c r="G414" s="66">
        <v>44078</v>
      </c>
      <c r="H414" s="70">
        <v>0.03</v>
      </c>
      <c r="I414" s="60">
        <v>0.1916</v>
      </c>
      <c r="J414" s="113">
        <v>0</v>
      </c>
      <c r="K414" s="113">
        <v>0.1916</v>
      </c>
      <c r="L414" s="60">
        <v>0.1652108362</v>
      </c>
      <c r="M414" s="60">
        <v>0.1652108362</v>
      </c>
      <c r="N414" s="67" t="s">
        <v>251</v>
      </c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</row>
    <row r="415" spans="1:252" s="4" customFormat="1" ht="23.25" customHeight="1">
      <c r="A415" s="23"/>
      <c r="B415" s="1" t="s">
        <v>310</v>
      </c>
      <c r="C415" s="79" t="s">
        <v>424</v>
      </c>
      <c r="D415" s="1" t="s">
        <v>411</v>
      </c>
      <c r="E415" s="83">
        <v>44074</v>
      </c>
      <c r="F415" s="80">
        <v>44075</v>
      </c>
      <c r="G415" s="80">
        <v>44078</v>
      </c>
      <c r="H415" s="132">
        <v>0.05</v>
      </c>
      <c r="I415" s="76">
        <v>0.0209</v>
      </c>
      <c r="J415" s="88">
        <v>0.0008618367276411291</v>
      </c>
      <c r="K415" s="88">
        <v>0.0209</v>
      </c>
      <c r="L415" s="76">
        <v>0.015850795124999997</v>
      </c>
      <c r="M415" s="76">
        <v>0.016712631852641126</v>
      </c>
      <c r="N415" s="77" t="s">
        <v>251</v>
      </c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IR415" s="243"/>
    </row>
    <row r="416" spans="1:252" s="4" customFormat="1" ht="23.25" customHeight="1">
      <c r="A416" s="19" t="s">
        <v>188</v>
      </c>
      <c r="B416" s="1" t="s">
        <v>188</v>
      </c>
      <c r="C416" s="108" t="s">
        <v>339</v>
      </c>
      <c r="D416" s="1" t="s">
        <v>411</v>
      </c>
      <c r="E416" s="83">
        <v>44074</v>
      </c>
      <c r="F416" s="80">
        <v>44075</v>
      </c>
      <c r="G416" s="80">
        <v>44078</v>
      </c>
      <c r="H416" s="132">
        <v>0.05</v>
      </c>
      <c r="I416" s="76">
        <v>0.3655</v>
      </c>
      <c r="J416" s="88">
        <v>0.014817334529482364</v>
      </c>
      <c r="K416" s="88">
        <v>0.3655</v>
      </c>
      <c r="L416" s="76">
        <v>0.277199311875</v>
      </c>
      <c r="M416" s="76">
        <v>0.2920166464044824</v>
      </c>
      <c r="N416" s="77" t="s">
        <v>251</v>
      </c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IR416" s="243"/>
    </row>
    <row r="417" spans="1:252" ht="23.25" customHeight="1">
      <c r="A417" s="19" t="s">
        <v>196</v>
      </c>
      <c r="B417" s="1" t="s">
        <v>196</v>
      </c>
      <c r="C417" s="110" t="s">
        <v>340</v>
      </c>
      <c r="D417" s="109" t="s">
        <v>411</v>
      </c>
      <c r="E417" s="83">
        <v>44074</v>
      </c>
      <c r="F417" s="80">
        <v>44075</v>
      </c>
      <c r="G417" s="80">
        <v>44078</v>
      </c>
      <c r="H417" s="132">
        <v>0.05</v>
      </c>
      <c r="I417" s="76">
        <v>0.3778</v>
      </c>
      <c r="J417" s="88">
        <v>0.01634968122374377</v>
      </c>
      <c r="K417" s="88">
        <v>0.3778</v>
      </c>
      <c r="L417" s="76">
        <v>0.28652777025</v>
      </c>
      <c r="M417" s="76">
        <v>0.30287745147374373</v>
      </c>
      <c r="N417" s="77" t="s">
        <v>251</v>
      </c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243"/>
    </row>
    <row r="418" spans="1:199" ht="23.25" customHeight="1">
      <c r="A418" s="19" t="s">
        <v>229</v>
      </c>
      <c r="B418" s="1" t="s">
        <v>191</v>
      </c>
      <c r="C418" s="108" t="s">
        <v>346</v>
      </c>
      <c r="D418" s="1" t="s">
        <v>411</v>
      </c>
      <c r="E418" s="83">
        <v>44074</v>
      </c>
      <c r="F418" s="80">
        <v>44075</v>
      </c>
      <c r="G418" s="80">
        <v>44078</v>
      </c>
      <c r="H418" s="77">
        <v>0.035</v>
      </c>
      <c r="I418" s="76">
        <v>0.0147</v>
      </c>
      <c r="J418" s="88">
        <v>0</v>
      </c>
      <c r="K418" s="88">
        <v>0.0147</v>
      </c>
      <c r="L418" s="76">
        <v>0.0124143999</v>
      </c>
      <c r="M418" s="76">
        <v>0.0124143999</v>
      </c>
      <c r="N418" s="77" t="s">
        <v>251</v>
      </c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</row>
    <row r="419" spans="1:14" ht="23.25" customHeight="1">
      <c r="A419" s="19" t="s">
        <v>231</v>
      </c>
      <c r="B419" s="1" t="s">
        <v>199</v>
      </c>
      <c r="C419" s="110" t="s">
        <v>347</v>
      </c>
      <c r="D419" s="109" t="s">
        <v>411</v>
      </c>
      <c r="E419" s="83">
        <v>44074</v>
      </c>
      <c r="F419" s="80">
        <v>44075</v>
      </c>
      <c r="G419" s="80">
        <v>44078</v>
      </c>
      <c r="H419" s="77">
        <v>0.035</v>
      </c>
      <c r="I419" s="76">
        <v>0.0147</v>
      </c>
      <c r="J419" s="88">
        <v>0</v>
      </c>
      <c r="K419" s="88">
        <v>0.0147</v>
      </c>
      <c r="L419" s="76">
        <v>0.0124143999</v>
      </c>
      <c r="M419" s="76">
        <v>0.0124143999</v>
      </c>
      <c r="N419" s="77" t="s">
        <v>251</v>
      </c>
    </row>
    <row r="420" spans="1:199" ht="23.25" customHeight="1">
      <c r="A420" s="23"/>
      <c r="B420" s="1" t="s">
        <v>306</v>
      </c>
      <c r="C420" s="79" t="s">
        <v>430</v>
      </c>
      <c r="D420" s="1" t="s">
        <v>411</v>
      </c>
      <c r="E420" s="83">
        <v>44074</v>
      </c>
      <c r="F420" s="80">
        <v>44075</v>
      </c>
      <c r="G420" s="80">
        <v>44078</v>
      </c>
      <c r="H420" s="77">
        <v>0.02</v>
      </c>
      <c r="I420" s="76">
        <v>0.0084</v>
      </c>
      <c r="J420" s="88">
        <v>0</v>
      </c>
      <c r="K420" s="88">
        <v>0.0084</v>
      </c>
      <c r="L420" s="76">
        <v>0.0062160001134</v>
      </c>
      <c r="M420" s="76">
        <v>0.0062160001134</v>
      </c>
      <c r="N420" s="77" t="s">
        <v>251</v>
      </c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</row>
    <row r="421" spans="1:199" ht="23.25" customHeight="1">
      <c r="A421" s="19" t="s">
        <v>184</v>
      </c>
      <c r="B421" s="1" t="s">
        <v>184</v>
      </c>
      <c r="C421" s="108" t="s">
        <v>354</v>
      </c>
      <c r="D421" s="1" t="s">
        <v>411</v>
      </c>
      <c r="E421" s="83">
        <v>44074</v>
      </c>
      <c r="F421" s="80">
        <v>44075</v>
      </c>
      <c r="G421" s="80">
        <v>44078</v>
      </c>
      <c r="H421" s="77">
        <v>0.02</v>
      </c>
      <c r="I421" s="76">
        <v>0.1688</v>
      </c>
      <c r="J421" s="88">
        <v>0</v>
      </c>
      <c r="K421" s="88">
        <v>0.1688</v>
      </c>
      <c r="L421" s="76">
        <v>0.1249120022788</v>
      </c>
      <c r="M421" s="76">
        <v>0.1249120022788</v>
      </c>
      <c r="N421" s="77" t="s">
        <v>251</v>
      </c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</row>
    <row r="422" spans="1:199" ht="23.25" customHeight="1">
      <c r="A422" s="19" t="s">
        <v>192</v>
      </c>
      <c r="B422" s="1" t="s">
        <v>192</v>
      </c>
      <c r="C422" s="110" t="s">
        <v>355</v>
      </c>
      <c r="D422" s="109" t="s">
        <v>411</v>
      </c>
      <c r="E422" s="83">
        <v>44074</v>
      </c>
      <c r="F422" s="80">
        <v>44075</v>
      </c>
      <c r="G422" s="80">
        <v>44078</v>
      </c>
      <c r="H422" s="77">
        <v>0.02</v>
      </c>
      <c r="I422" s="76">
        <v>0.1698</v>
      </c>
      <c r="J422" s="88">
        <v>0</v>
      </c>
      <c r="K422" s="88">
        <v>0.1698</v>
      </c>
      <c r="L422" s="76">
        <v>0.1256520022923</v>
      </c>
      <c r="M422" s="76">
        <v>0.1256520022923</v>
      </c>
      <c r="N422" s="77" t="s">
        <v>251</v>
      </c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</row>
    <row r="423" spans="1:199" ht="23.25" customHeight="1">
      <c r="A423" s="23"/>
      <c r="B423" s="1" t="s">
        <v>311</v>
      </c>
      <c r="C423" s="79" t="s">
        <v>425</v>
      </c>
      <c r="D423" s="1" t="s">
        <v>411</v>
      </c>
      <c r="E423" s="83">
        <v>44074</v>
      </c>
      <c r="F423" s="80">
        <v>44075</v>
      </c>
      <c r="G423" s="80">
        <v>44078</v>
      </c>
      <c r="H423" s="77">
        <v>0.01</v>
      </c>
      <c r="I423" s="76">
        <v>0.0042</v>
      </c>
      <c r="J423" s="88">
        <v>0</v>
      </c>
      <c r="K423" s="88">
        <v>0.0042</v>
      </c>
      <c r="L423" s="76">
        <v>0.0031080000567</v>
      </c>
      <c r="M423" s="76">
        <v>0.0031080000567</v>
      </c>
      <c r="N423" s="77" t="s">
        <v>251</v>
      </c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</row>
    <row r="424" spans="1:199" ht="23.25" customHeight="1">
      <c r="A424" s="19" t="s">
        <v>189</v>
      </c>
      <c r="B424" s="1" t="s">
        <v>189</v>
      </c>
      <c r="C424" s="108" t="s">
        <v>356</v>
      </c>
      <c r="D424" s="1" t="s">
        <v>411</v>
      </c>
      <c r="E424" s="83">
        <v>44074</v>
      </c>
      <c r="F424" s="80">
        <v>44075</v>
      </c>
      <c r="G424" s="80">
        <v>44078</v>
      </c>
      <c r="H424" s="77">
        <v>0.01</v>
      </c>
      <c r="I424" s="76">
        <v>0.0763</v>
      </c>
      <c r="J424" s="88">
        <v>0</v>
      </c>
      <c r="K424" s="88">
        <v>0.0763</v>
      </c>
      <c r="L424" s="76">
        <v>0.05646200103005</v>
      </c>
      <c r="M424" s="76">
        <v>0.05646200103005</v>
      </c>
      <c r="N424" s="77" t="s">
        <v>251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</row>
    <row r="425" spans="1:199" ht="23.25" customHeight="1">
      <c r="A425" s="19" t="s">
        <v>197</v>
      </c>
      <c r="B425" s="1" t="s">
        <v>197</v>
      </c>
      <c r="C425" s="110" t="s">
        <v>357</v>
      </c>
      <c r="D425" s="109" t="s">
        <v>411</v>
      </c>
      <c r="E425" s="83">
        <v>44074</v>
      </c>
      <c r="F425" s="80">
        <v>44075</v>
      </c>
      <c r="G425" s="80">
        <v>44078</v>
      </c>
      <c r="H425" s="77">
        <v>0.01</v>
      </c>
      <c r="I425" s="76">
        <v>0.0774</v>
      </c>
      <c r="J425" s="88">
        <v>0</v>
      </c>
      <c r="K425" s="88">
        <v>0.0774</v>
      </c>
      <c r="L425" s="76">
        <v>0.05727600104489999</v>
      </c>
      <c r="M425" s="76">
        <v>0.05727600104489999</v>
      </c>
      <c r="N425" s="77" t="s">
        <v>251</v>
      </c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</row>
    <row r="426" spans="1:199" ht="23.25" customHeight="1">
      <c r="A426" s="23"/>
      <c r="B426" s="1" t="s">
        <v>308</v>
      </c>
      <c r="C426" s="79" t="s">
        <v>426</v>
      </c>
      <c r="D426" s="1" t="s">
        <v>411</v>
      </c>
      <c r="E426" s="83">
        <v>44074</v>
      </c>
      <c r="F426" s="80">
        <v>44075</v>
      </c>
      <c r="G426" s="80">
        <v>44078</v>
      </c>
      <c r="H426" s="77">
        <v>0.015</v>
      </c>
      <c r="I426" s="76">
        <v>0.0062</v>
      </c>
      <c r="J426" s="88">
        <v>0</v>
      </c>
      <c r="K426" s="88">
        <v>0.0062</v>
      </c>
      <c r="L426" s="76">
        <v>0.0050061652</v>
      </c>
      <c r="M426" s="76">
        <v>0.0050061652</v>
      </c>
      <c r="N426" s="77" t="s">
        <v>251</v>
      </c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</row>
    <row r="427" spans="1:199" ht="23.25" customHeight="1">
      <c r="A427" s="19" t="s">
        <v>186</v>
      </c>
      <c r="B427" s="1" t="s">
        <v>186</v>
      </c>
      <c r="C427" s="108" t="s">
        <v>363</v>
      </c>
      <c r="D427" s="1" t="s">
        <v>411</v>
      </c>
      <c r="E427" s="83">
        <v>44074</v>
      </c>
      <c r="F427" s="80">
        <v>44075</v>
      </c>
      <c r="G427" s="80">
        <v>44078</v>
      </c>
      <c r="H427" s="77">
        <v>0.015</v>
      </c>
      <c r="I427" s="76">
        <v>0.114</v>
      </c>
      <c r="J427" s="88">
        <v>0</v>
      </c>
      <c r="K427" s="88">
        <v>0.114</v>
      </c>
      <c r="L427" s="76">
        <v>0.092048844</v>
      </c>
      <c r="M427" s="76">
        <v>0.092048844</v>
      </c>
      <c r="N427" s="77" t="s">
        <v>251</v>
      </c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</row>
    <row r="428" spans="1:199" ht="23.25" customHeight="1">
      <c r="A428" s="19" t="s">
        <v>194</v>
      </c>
      <c r="B428" s="1" t="s">
        <v>194</v>
      </c>
      <c r="C428" s="110" t="s">
        <v>364</v>
      </c>
      <c r="D428" s="109" t="s">
        <v>411</v>
      </c>
      <c r="E428" s="83">
        <v>44074</v>
      </c>
      <c r="F428" s="80">
        <v>44075</v>
      </c>
      <c r="G428" s="80">
        <v>44078</v>
      </c>
      <c r="H428" s="77">
        <v>0.015</v>
      </c>
      <c r="I428" s="76">
        <v>0.1168</v>
      </c>
      <c r="J428" s="88">
        <v>0</v>
      </c>
      <c r="K428" s="88">
        <v>0.1168</v>
      </c>
      <c r="L428" s="76">
        <v>0.0943096928</v>
      </c>
      <c r="M428" s="76">
        <v>0.0943096928</v>
      </c>
      <c r="N428" s="77" t="s">
        <v>251</v>
      </c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</row>
    <row r="429" spans="1:199" ht="23.25" customHeight="1">
      <c r="A429" s="133"/>
      <c r="B429" s="12" t="s">
        <v>307</v>
      </c>
      <c r="C429" s="138" t="s">
        <v>420</v>
      </c>
      <c r="D429" s="135" t="s">
        <v>411</v>
      </c>
      <c r="E429" s="120">
        <v>44074</v>
      </c>
      <c r="F429" s="121">
        <v>44075</v>
      </c>
      <c r="G429" s="121">
        <v>44078</v>
      </c>
      <c r="H429" s="67">
        <v>0.015</v>
      </c>
      <c r="I429" s="60">
        <v>0.0062</v>
      </c>
      <c r="J429" s="113">
        <v>0</v>
      </c>
      <c r="K429" s="113">
        <v>0.0062</v>
      </c>
      <c r="L429" s="60">
        <v>0.005106103</v>
      </c>
      <c r="M429" s="60">
        <v>0.005106103</v>
      </c>
      <c r="N429" s="67" t="s">
        <v>251</v>
      </c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</row>
    <row r="430" spans="1:199" ht="23.25" customHeight="1">
      <c r="A430" s="19" t="s">
        <v>185</v>
      </c>
      <c r="B430" s="1" t="s">
        <v>185</v>
      </c>
      <c r="C430" s="108" t="s">
        <v>366</v>
      </c>
      <c r="D430" s="1" t="s">
        <v>411</v>
      </c>
      <c r="E430" s="83">
        <v>44074</v>
      </c>
      <c r="F430" s="80">
        <v>44075</v>
      </c>
      <c r="G430" s="80">
        <v>44078</v>
      </c>
      <c r="H430" s="77">
        <v>0.015</v>
      </c>
      <c r="I430" s="76">
        <v>0.1039</v>
      </c>
      <c r="J430" s="88">
        <v>0</v>
      </c>
      <c r="K430" s="88">
        <v>0.1039</v>
      </c>
      <c r="L430" s="76">
        <v>0.0855684035</v>
      </c>
      <c r="M430" s="76">
        <v>0.0855684035</v>
      </c>
      <c r="N430" s="77" t="s">
        <v>251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</row>
    <row r="431" spans="1:14" ht="23.25" customHeight="1">
      <c r="A431" s="19" t="s">
        <v>193</v>
      </c>
      <c r="B431" s="1" t="s">
        <v>193</v>
      </c>
      <c r="C431" s="110" t="s">
        <v>367</v>
      </c>
      <c r="D431" s="109" t="s">
        <v>411</v>
      </c>
      <c r="E431" s="83">
        <v>44074</v>
      </c>
      <c r="F431" s="80">
        <v>44075</v>
      </c>
      <c r="G431" s="80">
        <v>44078</v>
      </c>
      <c r="H431" s="77">
        <v>0.015</v>
      </c>
      <c r="I431" s="76">
        <v>0.1009</v>
      </c>
      <c r="J431" s="88">
        <v>0</v>
      </c>
      <c r="K431" s="88">
        <v>0.1009</v>
      </c>
      <c r="L431" s="76">
        <v>0.0830977085</v>
      </c>
      <c r="M431" s="76">
        <v>0.0830977085</v>
      </c>
      <c r="N431" s="77" t="s">
        <v>251</v>
      </c>
    </row>
    <row r="432" spans="1:14" ht="23.25" customHeight="1">
      <c r="A432" s="40"/>
      <c r="B432" s="12" t="s">
        <v>309</v>
      </c>
      <c r="C432" s="64" t="s">
        <v>427</v>
      </c>
      <c r="D432" s="12" t="s">
        <v>411</v>
      </c>
      <c r="E432" s="65">
        <v>44074</v>
      </c>
      <c r="F432" s="66">
        <v>44075</v>
      </c>
      <c r="G432" s="66">
        <v>44078</v>
      </c>
      <c r="H432" s="67">
        <v>0.035</v>
      </c>
      <c r="I432" s="60">
        <v>0.0145</v>
      </c>
      <c r="J432" s="113">
        <v>0.002887686512311144</v>
      </c>
      <c r="K432" s="113">
        <v>0.0145</v>
      </c>
      <c r="L432" s="60">
        <v>0.01073000019575</v>
      </c>
      <c r="M432" s="60">
        <v>0.013617686708061143</v>
      </c>
      <c r="N432" s="67" t="s">
        <v>251</v>
      </c>
    </row>
    <row r="433" spans="1:14" ht="23.25" customHeight="1">
      <c r="A433" s="40" t="s">
        <v>187</v>
      </c>
      <c r="B433" s="12" t="s">
        <v>187</v>
      </c>
      <c r="C433" s="69" t="s">
        <v>368</v>
      </c>
      <c r="D433" s="12" t="s">
        <v>411</v>
      </c>
      <c r="E433" s="65">
        <v>44074</v>
      </c>
      <c r="F433" s="66">
        <v>44075</v>
      </c>
      <c r="G433" s="66">
        <v>44078</v>
      </c>
      <c r="H433" s="67">
        <v>0.035</v>
      </c>
      <c r="I433" s="60">
        <v>0.2568</v>
      </c>
      <c r="J433" s="113">
        <v>0.05144368132671814</v>
      </c>
      <c r="K433" s="113">
        <v>0.2568</v>
      </c>
      <c r="L433" s="60">
        <v>0.19003200346679996</v>
      </c>
      <c r="M433" s="60">
        <v>0.2414756847935181</v>
      </c>
      <c r="N433" s="67" t="s">
        <v>251</v>
      </c>
    </row>
    <row r="434" spans="1:14" ht="23.25" customHeight="1">
      <c r="A434" s="133" t="s">
        <v>195</v>
      </c>
      <c r="B434" s="12" t="s">
        <v>195</v>
      </c>
      <c r="C434" s="136" t="s">
        <v>369</v>
      </c>
      <c r="D434" s="137" t="s">
        <v>411</v>
      </c>
      <c r="E434" s="120">
        <v>44074</v>
      </c>
      <c r="F434" s="121">
        <v>44075</v>
      </c>
      <c r="G434" s="121">
        <v>44078</v>
      </c>
      <c r="H434" s="67">
        <v>0.035</v>
      </c>
      <c r="I434" s="60">
        <v>0.264</v>
      </c>
      <c r="J434" s="113">
        <v>0.05427088568228727</v>
      </c>
      <c r="K434" s="113">
        <v>0.264</v>
      </c>
      <c r="L434" s="60">
        <v>0.19536000356400002</v>
      </c>
      <c r="M434" s="60">
        <v>0.2496308892462873</v>
      </c>
      <c r="N434" s="67" t="s">
        <v>251</v>
      </c>
    </row>
    <row r="435" spans="1:14" ht="23.25" customHeight="1">
      <c r="A435" s="133"/>
      <c r="B435" s="12" t="s">
        <v>312</v>
      </c>
      <c r="C435" s="138" t="s">
        <v>428</v>
      </c>
      <c r="D435" s="135" t="s">
        <v>411</v>
      </c>
      <c r="E435" s="120">
        <v>44074</v>
      </c>
      <c r="F435" s="121">
        <v>44075</v>
      </c>
      <c r="G435" s="121">
        <v>44078</v>
      </c>
      <c r="H435" s="67">
        <v>0.05</v>
      </c>
      <c r="I435" s="60">
        <v>0.0211</v>
      </c>
      <c r="J435" s="113">
        <v>0.000511586004321693</v>
      </c>
      <c r="K435" s="113">
        <v>0.0211</v>
      </c>
      <c r="L435" s="60">
        <v>0.015693758</v>
      </c>
      <c r="M435" s="60">
        <v>0.016205344004321692</v>
      </c>
      <c r="N435" s="67" t="s">
        <v>251</v>
      </c>
    </row>
    <row r="436" spans="1:199" ht="23.25" customHeight="1">
      <c r="A436" s="133" t="s">
        <v>190</v>
      </c>
      <c r="B436" s="12" t="s">
        <v>190</v>
      </c>
      <c r="C436" s="134" t="s">
        <v>370</v>
      </c>
      <c r="D436" s="135" t="s">
        <v>411</v>
      </c>
      <c r="E436" s="120">
        <v>44074</v>
      </c>
      <c r="F436" s="121">
        <v>44075</v>
      </c>
      <c r="G436" s="121">
        <v>44078</v>
      </c>
      <c r="H436" s="67">
        <v>0.05</v>
      </c>
      <c r="I436" s="60">
        <v>0.3999</v>
      </c>
      <c r="J436" s="113">
        <v>0.010258178540114017</v>
      </c>
      <c r="K436" s="113">
        <v>0.3999</v>
      </c>
      <c r="L436" s="60">
        <v>0.297437622</v>
      </c>
      <c r="M436" s="60">
        <v>0.30769580054011403</v>
      </c>
      <c r="N436" s="67" t="s">
        <v>251</v>
      </c>
      <c r="GP436" s="10"/>
      <c r="GQ436" s="10"/>
    </row>
    <row r="437" spans="1:14" ht="23.25" customHeight="1">
      <c r="A437" s="133" t="s">
        <v>198</v>
      </c>
      <c r="B437" s="12" t="s">
        <v>198</v>
      </c>
      <c r="C437" s="136" t="s">
        <v>371</v>
      </c>
      <c r="D437" s="137" t="s">
        <v>411</v>
      </c>
      <c r="E437" s="120">
        <v>44074</v>
      </c>
      <c r="F437" s="121">
        <v>44075</v>
      </c>
      <c r="G437" s="121">
        <v>44078</v>
      </c>
      <c r="H437" s="67">
        <v>0.05</v>
      </c>
      <c r="I437" s="60">
        <v>0.3995</v>
      </c>
      <c r="J437" s="113">
        <v>0.010708417807877733</v>
      </c>
      <c r="K437" s="113">
        <v>0.3995</v>
      </c>
      <c r="L437" s="60">
        <v>0.29714011</v>
      </c>
      <c r="M437" s="60">
        <v>0.30784852780787775</v>
      </c>
      <c r="N437" s="67" t="s">
        <v>251</v>
      </c>
    </row>
    <row r="438" spans="1:14" s="29" customFormat="1" ht="23.25" customHeight="1">
      <c r="A438" s="12"/>
      <c r="B438" s="12" t="s">
        <v>516</v>
      </c>
      <c r="C438" s="64" t="s">
        <v>518</v>
      </c>
      <c r="D438" s="12" t="s">
        <v>411</v>
      </c>
      <c r="E438" s="120">
        <v>44074</v>
      </c>
      <c r="F438" s="121">
        <v>44075</v>
      </c>
      <c r="G438" s="121">
        <v>44078</v>
      </c>
      <c r="H438" s="70">
        <v>0.02</v>
      </c>
      <c r="I438" s="60">
        <v>0.1357</v>
      </c>
      <c r="J438" s="113">
        <v>0.12781380486392352</v>
      </c>
      <c r="K438" s="113">
        <v>0.1357</v>
      </c>
      <c r="L438" s="60">
        <v>0.10940005084999999</v>
      </c>
      <c r="M438" s="60">
        <v>0.2372138557139235</v>
      </c>
      <c r="N438" s="67" t="s">
        <v>251</v>
      </c>
    </row>
    <row r="439" spans="1:14" s="29" customFormat="1" ht="23.25" customHeight="1">
      <c r="A439" s="12"/>
      <c r="B439" s="12" t="s">
        <v>517</v>
      </c>
      <c r="C439" s="64" t="s">
        <v>519</v>
      </c>
      <c r="D439" s="12" t="s">
        <v>411</v>
      </c>
      <c r="E439" s="120">
        <v>44074</v>
      </c>
      <c r="F439" s="121">
        <v>44075</v>
      </c>
      <c r="G439" s="121">
        <v>44078</v>
      </c>
      <c r="H439" s="70">
        <v>0.02</v>
      </c>
      <c r="I439" s="60">
        <v>0.1364</v>
      </c>
      <c r="J439" s="113">
        <v>0.12832915332932296</v>
      </c>
      <c r="K439" s="113">
        <v>0.1364</v>
      </c>
      <c r="L439" s="60">
        <v>0.10996438419999999</v>
      </c>
      <c r="M439" s="60">
        <v>0.23829353752932295</v>
      </c>
      <c r="N439" s="67" t="s">
        <v>251</v>
      </c>
    </row>
    <row r="440" spans="1:252" s="29" customFormat="1" ht="23.25" customHeight="1">
      <c r="A440" s="12"/>
      <c r="B440" s="12" t="s">
        <v>313</v>
      </c>
      <c r="C440" s="64" t="s">
        <v>429</v>
      </c>
      <c r="D440" s="12" t="s">
        <v>411</v>
      </c>
      <c r="E440" s="120">
        <v>44074</v>
      </c>
      <c r="F440" s="121">
        <v>44075</v>
      </c>
      <c r="G440" s="121">
        <v>44078</v>
      </c>
      <c r="H440" s="70">
        <v>0.0225</v>
      </c>
      <c r="I440" s="60">
        <v>0.0093</v>
      </c>
      <c r="J440" s="113">
        <v>0</v>
      </c>
      <c r="K440" s="113">
        <v>0.0093</v>
      </c>
      <c r="L440" s="60">
        <v>0.0070660563</v>
      </c>
      <c r="M440" s="60">
        <v>0.0070660563</v>
      </c>
      <c r="N440" s="67" t="s">
        <v>251</v>
      </c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</row>
    <row r="441" spans="1:14" ht="23.25" customHeight="1">
      <c r="A441" s="133" t="s">
        <v>124</v>
      </c>
      <c r="B441" s="73" t="s">
        <v>272</v>
      </c>
      <c r="C441" s="136" t="s">
        <v>431</v>
      </c>
      <c r="D441" s="137" t="s">
        <v>412</v>
      </c>
      <c r="E441" s="139">
        <v>44095</v>
      </c>
      <c r="F441" s="139">
        <v>44096</v>
      </c>
      <c r="G441" s="139">
        <v>44099</v>
      </c>
      <c r="H441" s="67"/>
      <c r="I441" s="60">
        <v>0.25</v>
      </c>
      <c r="J441" s="113">
        <v>0</v>
      </c>
      <c r="K441" s="60">
        <v>0.25</v>
      </c>
      <c r="L441" s="60">
        <f>+K441-((K441*0.3017*0.125)+(K441*(1-0.089)*0.26))</f>
        <v>0.181356875</v>
      </c>
      <c r="M441" s="60">
        <f aca="true" t="shared" si="12" ref="M441:M472">J441+L441</f>
        <v>0.181356875</v>
      </c>
      <c r="N441" s="140" t="s">
        <v>288</v>
      </c>
    </row>
    <row r="442" spans="1:199" ht="23.25" customHeight="1">
      <c r="A442" s="133" t="s">
        <v>122</v>
      </c>
      <c r="B442" s="73" t="s">
        <v>273</v>
      </c>
      <c r="C442" s="136" t="s">
        <v>343</v>
      </c>
      <c r="D442" s="137" t="s">
        <v>412</v>
      </c>
      <c r="E442" s="139">
        <v>44095</v>
      </c>
      <c r="F442" s="139">
        <v>44096</v>
      </c>
      <c r="G442" s="139">
        <v>44099</v>
      </c>
      <c r="H442" s="67"/>
      <c r="I442" s="60">
        <v>0.19</v>
      </c>
      <c r="J442" s="113">
        <v>0</v>
      </c>
      <c r="K442" s="60">
        <v>0.19</v>
      </c>
      <c r="L442" s="60">
        <f>+K442-((K442*0.7742*0.125)+(K442*(1-0.7742)*0.26))</f>
        <v>0.16045823</v>
      </c>
      <c r="M442" s="60">
        <f t="shared" si="12"/>
        <v>0.16045823</v>
      </c>
      <c r="N442" s="140" t="s">
        <v>288</v>
      </c>
      <c r="GP442" s="10"/>
      <c r="GQ442" s="10"/>
    </row>
    <row r="443" spans="1:14" ht="23.25" customHeight="1">
      <c r="A443" s="133" t="s">
        <v>123</v>
      </c>
      <c r="B443" s="73" t="s">
        <v>274</v>
      </c>
      <c r="C443" s="136" t="s">
        <v>432</v>
      </c>
      <c r="D443" s="137" t="s">
        <v>412</v>
      </c>
      <c r="E443" s="139">
        <v>44095</v>
      </c>
      <c r="F443" s="139">
        <v>44096</v>
      </c>
      <c r="G443" s="139">
        <v>44099</v>
      </c>
      <c r="H443" s="67"/>
      <c r="I443" s="60">
        <v>0.17</v>
      </c>
      <c r="J443" s="113">
        <v>0</v>
      </c>
      <c r="K443" s="60">
        <v>0.17</v>
      </c>
      <c r="L443" s="60">
        <f>+K443-((K443*0.7742*0.125)+(K443*(1-0.7742)*0.26))</f>
        <v>0.14356789</v>
      </c>
      <c r="M443" s="60">
        <f t="shared" si="12"/>
        <v>0.14356789</v>
      </c>
      <c r="N443" s="140" t="s">
        <v>288</v>
      </c>
    </row>
    <row r="444" spans="1:14" ht="23.25" customHeight="1">
      <c r="A444" s="40"/>
      <c r="B444" s="73" t="s">
        <v>275</v>
      </c>
      <c r="C444" s="74" t="s">
        <v>418</v>
      </c>
      <c r="D444" s="73" t="s">
        <v>412</v>
      </c>
      <c r="E444" s="107">
        <v>44095</v>
      </c>
      <c r="F444" s="107">
        <v>44096</v>
      </c>
      <c r="G444" s="107">
        <v>44099</v>
      </c>
      <c r="H444" s="67"/>
      <c r="I444" s="60">
        <v>0.03</v>
      </c>
      <c r="J444" s="113">
        <v>0</v>
      </c>
      <c r="K444" s="60">
        <v>0.03</v>
      </c>
      <c r="L444" s="60">
        <f>+K444-((K444*0.5914*0.125)+(K444*(1-0.5914)*0.26))</f>
        <v>0.02459517</v>
      </c>
      <c r="M444" s="60">
        <f t="shared" si="12"/>
        <v>0.02459517</v>
      </c>
      <c r="N444" s="140" t="s">
        <v>288</v>
      </c>
    </row>
    <row r="445" spans="1:199" ht="23.25" customHeight="1">
      <c r="A445" s="133" t="s">
        <v>181</v>
      </c>
      <c r="B445" s="73" t="s">
        <v>276</v>
      </c>
      <c r="C445" s="136" t="s">
        <v>419</v>
      </c>
      <c r="D445" s="73" t="s">
        <v>412</v>
      </c>
      <c r="E445" s="139">
        <v>44095</v>
      </c>
      <c r="F445" s="139">
        <v>44096</v>
      </c>
      <c r="G445" s="139">
        <v>44099</v>
      </c>
      <c r="H445" s="67"/>
      <c r="I445" s="60">
        <v>0.01</v>
      </c>
      <c r="J445" s="113">
        <v>0</v>
      </c>
      <c r="K445" s="60">
        <v>0.01</v>
      </c>
      <c r="L445" s="60">
        <f>+K445-((K445*0.5914*0.125)+(K445*(1-0.5914)*0.26))</f>
        <v>0.00819839</v>
      </c>
      <c r="M445" s="60">
        <f t="shared" si="12"/>
        <v>0.00819839</v>
      </c>
      <c r="N445" s="73" t="s">
        <v>288</v>
      </c>
      <c r="GP445" s="10"/>
      <c r="GQ445" s="10"/>
    </row>
    <row r="446" spans="1:14" ht="23.25" customHeight="1">
      <c r="A446" s="133"/>
      <c r="B446" s="73" t="s">
        <v>280</v>
      </c>
      <c r="C446" s="136" t="s">
        <v>385</v>
      </c>
      <c r="D446" s="73" t="s">
        <v>412</v>
      </c>
      <c r="E446" s="139">
        <v>44095</v>
      </c>
      <c r="F446" s="139">
        <v>44096</v>
      </c>
      <c r="G446" s="139">
        <v>44099</v>
      </c>
      <c r="H446" s="67"/>
      <c r="I446" s="60">
        <v>0.13</v>
      </c>
      <c r="J446" s="113">
        <v>0</v>
      </c>
      <c r="K446" s="60">
        <v>0.13</v>
      </c>
      <c r="L446" s="60">
        <f>+K446-((K446*0.0509*0.125)+(K446*(1-0.0509)*0.26))</f>
        <v>0.097093295</v>
      </c>
      <c r="M446" s="60">
        <f t="shared" si="12"/>
        <v>0.097093295</v>
      </c>
      <c r="N446" s="73" t="s">
        <v>288</v>
      </c>
    </row>
    <row r="447" spans="1:199" ht="23.25" customHeight="1">
      <c r="A447" s="133" t="s">
        <v>188</v>
      </c>
      <c r="B447" s="73" t="s">
        <v>281</v>
      </c>
      <c r="C447" s="136" t="s">
        <v>433</v>
      </c>
      <c r="D447" s="73" t="s">
        <v>412</v>
      </c>
      <c r="E447" s="139">
        <v>44095</v>
      </c>
      <c r="F447" s="139">
        <v>44096</v>
      </c>
      <c r="G447" s="139">
        <v>44099</v>
      </c>
      <c r="H447" s="67"/>
      <c r="I447" s="60">
        <v>0.3</v>
      </c>
      <c r="J447" s="113">
        <v>0</v>
      </c>
      <c r="K447" s="60">
        <v>0.3</v>
      </c>
      <c r="L447" s="60">
        <f>+K447-((K447*0.0921*0.125)+(K447*(1-0.921)*0.26))</f>
        <v>0.29038425</v>
      </c>
      <c r="M447" s="60">
        <f t="shared" si="12"/>
        <v>0.29038425</v>
      </c>
      <c r="N447" s="140" t="s">
        <v>288</v>
      </c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</row>
    <row r="448" spans="1:199" ht="23.25" customHeight="1">
      <c r="A448" s="133" t="s">
        <v>196</v>
      </c>
      <c r="B448" s="73" t="s">
        <v>282</v>
      </c>
      <c r="C448" s="136" t="s">
        <v>434</v>
      </c>
      <c r="D448" s="73" t="s">
        <v>412</v>
      </c>
      <c r="E448" s="139">
        <v>44095</v>
      </c>
      <c r="F448" s="139">
        <v>44096</v>
      </c>
      <c r="G448" s="139">
        <v>44099</v>
      </c>
      <c r="H448" s="67"/>
      <c r="I448" s="60">
        <v>0.21</v>
      </c>
      <c r="J448" s="113">
        <v>0</v>
      </c>
      <c r="K448" s="60">
        <v>0.21</v>
      </c>
      <c r="L448" s="60">
        <f>+K448-((K448*0.1243*0.125)+(K448*(1-0.1243)*0.26))</f>
        <v>0.15892390499999998</v>
      </c>
      <c r="M448" s="60">
        <f t="shared" si="12"/>
        <v>0.15892390499999998</v>
      </c>
      <c r="N448" s="140" t="s">
        <v>288</v>
      </c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</row>
    <row r="449" spans="1:199" ht="23.25" customHeight="1">
      <c r="A449" s="133"/>
      <c r="B449" s="73" t="s">
        <v>283</v>
      </c>
      <c r="C449" s="136" t="s">
        <v>435</v>
      </c>
      <c r="D449" s="73" t="s">
        <v>412</v>
      </c>
      <c r="E449" s="139">
        <v>44095</v>
      </c>
      <c r="F449" s="139">
        <v>44096</v>
      </c>
      <c r="G449" s="139">
        <v>44099</v>
      </c>
      <c r="H449" s="67"/>
      <c r="I449" s="60">
        <v>0.17</v>
      </c>
      <c r="J449" s="113">
        <v>0</v>
      </c>
      <c r="K449" s="60">
        <v>0.17</v>
      </c>
      <c r="L449" s="60">
        <f>+K449-((K449*0.1243*0.125)+(K449*(1-0.1243)*0.26))</f>
        <v>0.128652685</v>
      </c>
      <c r="M449" s="60">
        <f t="shared" si="12"/>
        <v>0.128652685</v>
      </c>
      <c r="N449" s="140" t="s">
        <v>288</v>
      </c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</row>
    <row r="450" spans="1:199" ht="23.25" customHeight="1">
      <c r="A450" s="40" t="s">
        <v>87</v>
      </c>
      <c r="B450" s="73" t="s">
        <v>284</v>
      </c>
      <c r="C450" s="74" t="s">
        <v>436</v>
      </c>
      <c r="D450" s="73" t="s">
        <v>412</v>
      </c>
      <c r="E450" s="107">
        <v>44095</v>
      </c>
      <c r="F450" s="107">
        <v>44096</v>
      </c>
      <c r="G450" s="107">
        <v>44099</v>
      </c>
      <c r="H450" s="67"/>
      <c r="I450" s="60">
        <v>0.18</v>
      </c>
      <c r="J450" s="113">
        <v>0</v>
      </c>
      <c r="K450" s="60">
        <v>0.18</v>
      </c>
      <c r="L450" s="60">
        <f>+K450-((K450*0.1243*0.125)+(K450*(1-0.1243)*0.26))</f>
        <v>0.13622049</v>
      </c>
      <c r="M450" s="60">
        <f t="shared" si="12"/>
        <v>0.13622049</v>
      </c>
      <c r="N450" s="140" t="s">
        <v>288</v>
      </c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</row>
    <row r="451" spans="1:199" ht="23.25" customHeight="1">
      <c r="A451" s="40" t="s">
        <v>14</v>
      </c>
      <c r="B451" s="73" t="s">
        <v>285</v>
      </c>
      <c r="C451" s="74" t="s">
        <v>437</v>
      </c>
      <c r="D451" s="73" t="s">
        <v>412</v>
      </c>
      <c r="E451" s="107">
        <v>44095</v>
      </c>
      <c r="F451" s="107">
        <v>44096</v>
      </c>
      <c r="G451" s="107">
        <v>44099</v>
      </c>
      <c r="H451" s="67"/>
      <c r="I451" s="60">
        <v>0.14</v>
      </c>
      <c r="J451" s="113">
        <v>0</v>
      </c>
      <c r="K451" s="60">
        <v>0.14</v>
      </c>
      <c r="L451" s="60">
        <f>+K451-((K451*0.1243*0.125)+(K451*(1-0.1243)*0.26))</f>
        <v>0.10594927000000001</v>
      </c>
      <c r="M451" s="60">
        <f t="shared" si="12"/>
        <v>0.10594927000000001</v>
      </c>
      <c r="N451" s="140" t="s">
        <v>288</v>
      </c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</row>
    <row r="452" spans="1:14" ht="23.25" customHeight="1">
      <c r="A452" s="40"/>
      <c r="B452" s="73" t="s">
        <v>286</v>
      </c>
      <c r="C452" s="74" t="s">
        <v>438</v>
      </c>
      <c r="D452" s="73" t="s">
        <v>412</v>
      </c>
      <c r="E452" s="107">
        <v>44095</v>
      </c>
      <c r="F452" s="107">
        <v>44096</v>
      </c>
      <c r="G452" s="107">
        <v>44099</v>
      </c>
      <c r="H452" s="67"/>
      <c r="I452" s="60">
        <v>0.16</v>
      </c>
      <c r="J452" s="113">
        <v>0</v>
      </c>
      <c r="K452" s="60">
        <v>0.16</v>
      </c>
      <c r="L452" s="60">
        <f>+K452-((K452*0.1243*0.125)+(K452*(1-0.1243)*0.26))</f>
        <v>0.12108488</v>
      </c>
      <c r="M452" s="60">
        <f t="shared" si="12"/>
        <v>0.12108488</v>
      </c>
      <c r="N452" s="140" t="s">
        <v>288</v>
      </c>
    </row>
    <row r="453" spans="1:199" ht="23.25" customHeight="1">
      <c r="A453" s="40" t="s">
        <v>201</v>
      </c>
      <c r="B453" s="73" t="s">
        <v>277</v>
      </c>
      <c r="C453" s="74" t="s">
        <v>470</v>
      </c>
      <c r="D453" s="73" t="s">
        <v>412</v>
      </c>
      <c r="E453" s="107">
        <v>44095</v>
      </c>
      <c r="F453" s="107">
        <v>44096</v>
      </c>
      <c r="G453" s="107">
        <v>44099</v>
      </c>
      <c r="H453" s="67"/>
      <c r="I453" s="60">
        <v>0.17</v>
      </c>
      <c r="J453" s="113">
        <v>0</v>
      </c>
      <c r="K453" s="60">
        <v>0.17</v>
      </c>
      <c r="L453" s="60">
        <f>+K453-((K453*0.127*0.125)+(K453*(1-0.127)*0.26))</f>
        <v>0.12871465</v>
      </c>
      <c r="M453" s="60">
        <f t="shared" si="12"/>
        <v>0.12871465</v>
      </c>
      <c r="N453" s="140" t="s">
        <v>288</v>
      </c>
      <c r="GP453" s="10"/>
      <c r="GQ453" s="10"/>
    </row>
    <row r="454" spans="1:14" ht="23.25" customHeight="1">
      <c r="A454" s="40" t="s">
        <v>88</v>
      </c>
      <c r="B454" s="73" t="s">
        <v>278</v>
      </c>
      <c r="C454" s="74" t="s">
        <v>471</v>
      </c>
      <c r="D454" s="73" t="s">
        <v>412</v>
      </c>
      <c r="E454" s="107">
        <v>44095</v>
      </c>
      <c r="F454" s="107">
        <v>44096</v>
      </c>
      <c r="G454" s="107">
        <v>44099</v>
      </c>
      <c r="H454" s="67"/>
      <c r="I454" s="60">
        <v>0.15</v>
      </c>
      <c r="J454" s="113">
        <v>0</v>
      </c>
      <c r="K454" s="60">
        <v>0.15</v>
      </c>
      <c r="L454" s="60">
        <f>+K454-((K454*0.127*0.125)+(K454*(1-0.127)*0.26))</f>
        <v>0.11357175</v>
      </c>
      <c r="M454" s="60">
        <f t="shared" si="12"/>
        <v>0.11357175</v>
      </c>
      <c r="N454" s="140" t="s">
        <v>288</v>
      </c>
    </row>
    <row r="455" spans="1:199" ht="23.25" customHeight="1">
      <c r="A455" s="12" t="s">
        <v>13</v>
      </c>
      <c r="B455" s="73" t="s">
        <v>279</v>
      </c>
      <c r="C455" s="74" t="s">
        <v>472</v>
      </c>
      <c r="D455" s="73" t="s">
        <v>412</v>
      </c>
      <c r="E455" s="107">
        <v>44095</v>
      </c>
      <c r="F455" s="107">
        <v>44096</v>
      </c>
      <c r="G455" s="107">
        <v>44099</v>
      </c>
      <c r="H455" s="67"/>
      <c r="I455" s="60">
        <v>0.18</v>
      </c>
      <c r="J455" s="113">
        <v>0</v>
      </c>
      <c r="K455" s="60">
        <v>0.18</v>
      </c>
      <c r="L455" s="60">
        <f>+K455-((K455*0.127*0.125)+(K455*(1-0.127)*0.26))</f>
        <v>0.1362861</v>
      </c>
      <c r="M455" s="60">
        <f t="shared" si="12"/>
        <v>0.1362861</v>
      </c>
      <c r="N455" s="73" t="s">
        <v>288</v>
      </c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  <c r="GO455" s="29"/>
      <c r="GP455" s="29"/>
      <c r="GQ455" s="29"/>
    </row>
    <row r="456" spans="1:199" ht="23.25" customHeight="1">
      <c r="A456" s="142" t="s">
        <v>15</v>
      </c>
      <c r="B456" s="12" t="s">
        <v>174</v>
      </c>
      <c r="C456" s="74" t="s">
        <v>382</v>
      </c>
      <c r="D456" s="73" t="s">
        <v>410</v>
      </c>
      <c r="E456" s="65">
        <v>44103</v>
      </c>
      <c r="F456" s="66">
        <v>44104</v>
      </c>
      <c r="G456" s="66">
        <v>44109</v>
      </c>
      <c r="H456" s="67"/>
      <c r="I456" s="60">
        <v>0.020935</v>
      </c>
      <c r="J456" s="113">
        <v>0</v>
      </c>
      <c r="K456" s="113">
        <v>0.02093542</v>
      </c>
      <c r="L456" s="60">
        <f>+K456-((K456*0.0094*0.125)+(K456*(1-0.0094)*0.26))</f>
        <v>0.01551877784798</v>
      </c>
      <c r="M456" s="60">
        <f t="shared" si="12"/>
        <v>0.01551877784798</v>
      </c>
      <c r="N456" s="67" t="s">
        <v>247</v>
      </c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</row>
    <row r="457" spans="1:199" ht="23.25" customHeight="1">
      <c r="A457" s="142" t="s">
        <v>229</v>
      </c>
      <c r="B457" s="12" t="s">
        <v>176</v>
      </c>
      <c r="C457" s="74" t="s">
        <v>397</v>
      </c>
      <c r="D457" s="73" t="s">
        <v>410</v>
      </c>
      <c r="E457" s="65">
        <v>44103</v>
      </c>
      <c r="F457" s="66">
        <v>44104</v>
      </c>
      <c r="G457" s="66">
        <v>44109</v>
      </c>
      <c r="H457" s="67"/>
      <c r="I457" s="60">
        <v>0.036318</v>
      </c>
      <c r="J457" s="113">
        <v>0</v>
      </c>
      <c r="K457" s="113">
        <v>0.03631779</v>
      </c>
      <c r="L457" s="60">
        <f>+K457-((K457*0.1243*0.125)+(K457*(1-0.1243)*0.26))</f>
        <v>0.027484595275095003</v>
      </c>
      <c r="M457" s="60">
        <f t="shared" si="12"/>
        <v>0.027484595275095003</v>
      </c>
      <c r="N457" s="67" t="s">
        <v>247</v>
      </c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</row>
    <row r="458" spans="1:199" ht="23.25" customHeight="1">
      <c r="A458" s="142" t="s">
        <v>89</v>
      </c>
      <c r="B458" s="12" t="s">
        <v>175</v>
      </c>
      <c r="C458" s="74" t="s">
        <v>467</v>
      </c>
      <c r="D458" s="73" t="s">
        <v>410</v>
      </c>
      <c r="E458" s="65">
        <v>44103</v>
      </c>
      <c r="F458" s="66">
        <v>44104</v>
      </c>
      <c r="G458" s="66">
        <v>44109</v>
      </c>
      <c r="H458" s="67"/>
      <c r="I458" s="60">
        <v>0.041451</v>
      </c>
      <c r="J458" s="113">
        <v>0</v>
      </c>
      <c r="K458" s="113">
        <v>0.04145131</v>
      </c>
      <c r="L458" s="60">
        <f>+K458-((K458*0.127*0.125)+(K458*(1-0.127)*0.26))</f>
        <v>0.03138465210995</v>
      </c>
      <c r="M458" s="60">
        <f t="shared" si="12"/>
        <v>0.03138465210995</v>
      </c>
      <c r="N458" s="67" t="s">
        <v>247</v>
      </c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</row>
    <row r="459" spans="1:14" ht="23.25" customHeight="1">
      <c r="A459" s="23" t="s">
        <v>188</v>
      </c>
      <c r="B459" s="12" t="s">
        <v>514</v>
      </c>
      <c r="C459" s="64" t="s">
        <v>515</v>
      </c>
      <c r="D459" s="12" t="s">
        <v>411</v>
      </c>
      <c r="E459" s="65">
        <v>44104</v>
      </c>
      <c r="F459" s="66">
        <v>44105</v>
      </c>
      <c r="G459" s="66">
        <v>44110</v>
      </c>
      <c r="H459" s="70">
        <v>0.03</v>
      </c>
      <c r="I459" s="60">
        <v>0.1916</v>
      </c>
      <c r="J459" s="113">
        <v>0</v>
      </c>
      <c r="K459" s="113">
        <v>0.1916</v>
      </c>
      <c r="L459" s="60">
        <f>+K459-((K459*0.9057*0.125)+(K459*(1-0.9057)*0.26))</f>
        <v>0.1652108362</v>
      </c>
      <c r="M459" s="60">
        <f t="shared" si="12"/>
        <v>0.1652108362</v>
      </c>
      <c r="N459" s="67" t="s">
        <v>251</v>
      </c>
    </row>
    <row r="460" spans="1:199" ht="23.25" customHeight="1">
      <c r="A460" s="19" t="s">
        <v>231</v>
      </c>
      <c r="B460" s="12" t="s">
        <v>298</v>
      </c>
      <c r="C460" s="64" t="s">
        <v>403</v>
      </c>
      <c r="D460" s="12" t="s">
        <v>410</v>
      </c>
      <c r="E460" s="65">
        <v>44104</v>
      </c>
      <c r="F460" s="66">
        <v>44105</v>
      </c>
      <c r="G460" s="66">
        <v>44110</v>
      </c>
      <c r="H460" s="67">
        <v>0.045</v>
      </c>
      <c r="I460" s="60">
        <v>0.0562</v>
      </c>
      <c r="J460" s="113">
        <v>0.026126146361972597</v>
      </c>
      <c r="K460" s="113">
        <v>0.030073853638027403</v>
      </c>
      <c r="L460" s="60">
        <f>+K460-((K460*0.4755*0.125)+(K460*(1-0.4755)*0.26))</f>
        <v>0.024185167541799352</v>
      </c>
      <c r="M460" s="60">
        <f t="shared" si="12"/>
        <v>0.05031131390377195</v>
      </c>
      <c r="N460" s="67" t="s">
        <v>248</v>
      </c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</row>
    <row r="461" spans="1:199" ht="23.25" customHeight="1">
      <c r="A461" s="23" t="s">
        <v>91</v>
      </c>
      <c r="B461" s="12" t="s">
        <v>181</v>
      </c>
      <c r="C461" s="69" t="s">
        <v>335</v>
      </c>
      <c r="D461" s="12" t="s">
        <v>410</v>
      </c>
      <c r="E461" s="65">
        <v>44104</v>
      </c>
      <c r="F461" s="66">
        <v>44105</v>
      </c>
      <c r="G461" s="66">
        <v>44110</v>
      </c>
      <c r="H461" s="67">
        <v>0.045</v>
      </c>
      <c r="I461" s="60">
        <v>1.0031</v>
      </c>
      <c r="J461" s="113">
        <v>0.49378040722160604</v>
      </c>
      <c r="K461" s="113">
        <v>0.509319592778394</v>
      </c>
      <c r="L461" s="60">
        <f>+K461-((K461*0.4755*0.125)+(K461*(1-0.4755)*0.26))</f>
        <v>0.40959099661543863</v>
      </c>
      <c r="M461" s="60">
        <f t="shared" si="12"/>
        <v>0.9033714038370446</v>
      </c>
      <c r="N461" s="73" t="s">
        <v>248</v>
      </c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</row>
    <row r="462" spans="1:199" ht="23.25" customHeight="1">
      <c r="A462" s="23" t="s">
        <v>90</v>
      </c>
      <c r="B462" s="12" t="s">
        <v>201</v>
      </c>
      <c r="C462" s="74" t="s">
        <v>336</v>
      </c>
      <c r="D462" s="12" t="s">
        <v>410</v>
      </c>
      <c r="E462" s="65">
        <v>44104</v>
      </c>
      <c r="F462" s="66">
        <v>44105</v>
      </c>
      <c r="G462" s="66">
        <v>44110</v>
      </c>
      <c r="H462" s="67">
        <v>0.045</v>
      </c>
      <c r="I462" s="60">
        <v>1.014</v>
      </c>
      <c r="J462" s="113">
        <v>0.40527179710124367</v>
      </c>
      <c r="K462" s="113">
        <v>0.6087282028987564</v>
      </c>
      <c r="L462" s="60">
        <f>+K462-((K462*0.4755*0.125)+(K462*(1-0.4755)*0.26))</f>
        <v>0.4895346553096582</v>
      </c>
      <c r="M462" s="60">
        <f t="shared" si="12"/>
        <v>0.8948064524109018</v>
      </c>
      <c r="N462" s="67" t="s">
        <v>248</v>
      </c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</row>
    <row r="463" spans="1:14" ht="23.25" customHeight="1">
      <c r="A463" s="23" t="s">
        <v>17</v>
      </c>
      <c r="B463" s="12" t="s">
        <v>138</v>
      </c>
      <c r="C463" s="64" t="s">
        <v>337</v>
      </c>
      <c r="D463" s="12" t="s">
        <v>410</v>
      </c>
      <c r="E463" s="65">
        <v>44104</v>
      </c>
      <c r="F463" s="66">
        <v>44105</v>
      </c>
      <c r="G463" s="66">
        <v>44110</v>
      </c>
      <c r="H463" s="70">
        <v>0.05</v>
      </c>
      <c r="I463" s="60">
        <v>0.0788</v>
      </c>
      <c r="J463" s="113">
        <v>0.01917925061836051</v>
      </c>
      <c r="K463" s="113">
        <v>0.059620749381639485</v>
      </c>
      <c r="L463" s="60">
        <f>+K463-((K463*0.3017*0.125)+(K463*(1-0.089)*0.26))</f>
        <v>0.04325053117204927</v>
      </c>
      <c r="M463" s="60">
        <f t="shared" si="12"/>
        <v>0.06242978179040978</v>
      </c>
      <c r="N463" s="67" t="s">
        <v>248</v>
      </c>
    </row>
    <row r="464" spans="1:14" ht="23.25" customHeight="1">
      <c r="A464" s="19"/>
      <c r="B464" s="12" t="s">
        <v>160</v>
      </c>
      <c r="C464" s="69" t="s">
        <v>338</v>
      </c>
      <c r="D464" s="12" t="s">
        <v>410</v>
      </c>
      <c r="E464" s="65">
        <v>44104</v>
      </c>
      <c r="F464" s="66">
        <v>44105</v>
      </c>
      <c r="G464" s="66">
        <v>44110</v>
      </c>
      <c r="H464" s="70">
        <v>0.05</v>
      </c>
      <c r="I464" s="60">
        <v>0.0784</v>
      </c>
      <c r="J464" s="113">
        <v>0.0261907876634703</v>
      </c>
      <c r="K464" s="113">
        <v>0.0522092123365297</v>
      </c>
      <c r="L464" s="60">
        <f>+K464-((K464*0.3017*0.125)+(K464*(1-0.089)*0.26))</f>
        <v>0.0378739983822579</v>
      </c>
      <c r="M464" s="60">
        <f t="shared" si="12"/>
        <v>0.0640647860457282</v>
      </c>
      <c r="N464" s="73" t="s">
        <v>248</v>
      </c>
    </row>
    <row r="465" spans="1:14" ht="23.25" customHeight="1">
      <c r="A465" s="19"/>
      <c r="B465" s="12" t="s">
        <v>300</v>
      </c>
      <c r="C465" s="64" t="s">
        <v>404</v>
      </c>
      <c r="D465" s="12" t="s">
        <v>410</v>
      </c>
      <c r="E465" s="65">
        <v>44104</v>
      </c>
      <c r="F465" s="66">
        <v>44105</v>
      </c>
      <c r="G465" s="66">
        <v>44110</v>
      </c>
      <c r="H465" s="70">
        <v>0.05</v>
      </c>
      <c r="I465" s="60">
        <v>0.0615</v>
      </c>
      <c r="J465" s="113">
        <v>0.018116342284949818</v>
      </c>
      <c r="K465" s="113">
        <v>0.043383657715050185</v>
      </c>
      <c r="L465" s="60">
        <f>+K465-((K465*0.3017*0.125)+(K465*(1-0.089)*0.26))</f>
        <v>0.03147169835708456</v>
      </c>
      <c r="M465" s="60">
        <f t="shared" si="12"/>
        <v>0.049588040642034384</v>
      </c>
      <c r="N465" s="67" t="s">
        <v>248</v>
      </c>
    </row>
    <row r="466" spans="1:252" ht="23.25" customHeight="1">
      <c r="A466" s="23" t="s">
        <v>93</v>
      </c>
      <c r="B466" s="12" t="s">
        <v>310</v>
      </c>
      <c r="C466" s="64" t="s">
        <v>424</v>
      </c>
      <c r="D466" s="12" t="s">
        <v>411</v>
      </c>
      <c r="E466" s="65">
        <v>44104</v>
      </c>
      <c r="F466" s="66">
        <v>44105</v>
      </c>
      <c r="G466" s="66">
        <v>44110</v>
      </c>
      <c r="H466" s="70">
        <v>0.05</v>
      </c>
      <c r="I466" s="60">
        <v>0.0209</v>
      </c>
      <c r="J466" s="113">
        <v>0</v>
      </c>
      <c r="K466" s="113">
        <v>0.0209</v>
      </c>
      <c r="L466" s="60">
        <f>+K466-((K466*0.03783*0.125)+(K466*(1-0.089)*0.26))</f>
        <v>0.015850795124999997</v>
      </c>
      <c r="M466" s="60">
        <f t="shared" si="12"/>
        <v>0.015850795124999997</v>
      </c>
      <c r="N466" s="67" t="s">
        <v>251</v>
      </c>
      <c r="IR466" s="10"/>
    </row>
    <row r="467" spans="1:252" ht="23.25" customHeight="1">
      <c r="A467" s="23" t="s">
        <v>92</v>
      </c>
      <c r="B467" s="12" t="s">
        <v>188</v>
      </c>
      <c r="C467" s="69" t="s">
        <v>339</v>
      </c>
      <c r="D467" s="12" t="s">
        <v>411</v>
      </c>
      <c r="E467" s="65">
        <v>44104</v>
      </c>
      <c r="F467" s="66">
        <v>44105</v>
      </c>
      <c r="G467" s="66">
        <v>44110</v>
      </c>
      <c r="H467" s="70">
        <v>0.05</v>
      </c>
      <c r="I467" s="60">
        <v>0.3655</v>
      </c>
      <c r="J467" s="113">
        <v>0</v>
      </c>
      <c r="K467" s="113">
        <v>0.3655</v>
      </c>
      <c r="L467" s="60">
        <f>+K467-((K467*0.03783*0.125)+(K467*(1-0.089)*0.26))</f>
        <v>0.277199311875</v>
      </c>
      <c r="M467" s="60">
        <f t="shared" si="12"/>
        <v>0.277199311875</v>
      </c>
      <c r="N467" s="67" t="s">
        <v>251</v>
      </c>
      <c r="GP467" s="10"/>
      <c r="GQ467" s="10"/>
      <c r="IR467" s="10"/>
    </row>
    <row r="468" spans="1:252" ht="23.25" customHeight="1">
      <c r="A468" s="23" t="s">
        <v>94</v>
      </c>
      <c r="B468" s="12" t="s">
        <v>196</v>
      </c>
      <c r="C468" s="74" t="s">
        <v>340</v>
      </c>
      <c r="D468" s="73" t="s">
        <v>411</v>
      </c>
      <c r="E468" s="65">
        <v>44104</v>
      </c>
      <c r="F468" s="66">
        <v>44105</v>
      </c>
      <c r="G468" s="66">
        <v>44110</v>
      </c>
      <c r="H468" s="70">
        <v>0.05</v>
      </c>
      <c r="I468" s="60">
        <v>0.3778</v>
      </c>
      <c r="J468" s="113">
        <v>0</v>
      </c>
      <c r="K468" s="113">
        <v>0.3778</v>
      </c>
      <c r="L468" s="60">
        <f>+K468-((K468*0.03783*0.125)+(K468*(1-0.089)*0.26))</f>
        <v>0.28652777025</v>
      </c>
      <c r="M468" s="60">
        <f t="shared" si="12"/>
        <v>0.28652777025</v>
      </c>
      <c r="N468" s="67" t="s">
        <v>251</v>
      </c>
      <c r="IR468" s="10"/>
    </row>
    <row r="469" spans="1:14" ht="23.25" customHeight="1">
      <c r="A469" s="19" t="s">
        <v>184</v>
      </c>
      <c r="B469" s="12" t="s">
        <v>142</v>
      </c>
      <c r="C469" s="64" t="s">
        <v>341</v>
      </c>
      <c r="D469" s="12" t="s">
        <v>410</v>
      </c>
      <c r="E469" s="65">
        <v>44104</v>
      </c>
      <c r="F469" s="66">
        <v>44105</v>
      </c>
      <c r="G469" s="66">
        <v>44110</v>
      </c>
      <c r="H469" s="67">
        <v>0.0525</v>
      </c>
      <c r="I469" s="60">
        <v>0.0839</v>
      </c>
      <c r="J469" s="113">
        <v>0</v>
      </c>
      <c r="K469" s="113">
        <v>0.0839</v>
      </c>
      <c r="L469" s="60">
        <f>+K469-((K469*0.0016*0.125)+(K469*(1-0.0016)*0.26))</f>
        <v>0.0621041224</v>
      </c>
      <c r="M469" s="60">
        <f t="shared" si="12"/>
        <v>0.0621041224</v>
      </c>
      <c r="N469" s="67" t="s">
        <v>248</v>
      </c>
    </row>
    <row r="470" spans="1:14" ht="23.25" customHeight="1">
      <c r="A470" s="19" t="s">
        <v>192</v>
      </c>
      <c r="B470" s="12" t="s">
        <v>159</v>
      </c>
      <c r="C470" s="69" t="s">
        <v>342</v>
      </c>
      <c r="D470" s="12" t="s">
        <v>410</v>
      </c>
      <c r="E470" s="65">
        <v>44104</v>
      </c>
      <c r="F470" s="66">
        <v>44105</v>
      </c>
      <c r="G470" s="66">
        <v>44110</v>
      </c>
      <c r="H470" s="67">
        <v>0.0525</v>
      </c>
      <c r="I470" s="60">
        <v>0.0836</v>
      </c>
      <c r="J470" s="113">
        <v>0</v>
      </c>
      <c r="K470" s="113">
        <v>0.0836</v>
      </c>
      <c r="L470" s="60">
        <f>+K470-((K470*0.0016*0.125)+(K470*(1-0.0016)*0.26))</f>
        <v>0.0618820576</v>
      </c>
      <c r="M470" s="60">
        <f t="shared" si="12"/>
        <v>0.0618820576</v>
      </c>
      <c r="N470" s="73" t="s">
        <v>248</v>
      </c>
    </row>
    <row r="471" spans="1:199" ht="23.25" customHeight="1">
      <c r="A471" s="40"/>
      <c r="B471" s="12" t="s">
        <v>510</v>
      </c>
      <c r="C471" s="69" t="s">
        <v>511</v>
      </c>
      <c r="D471" s="12" t="s">
        <v>410</v>
      </c>
      <c r="E471" s="65">
        <v>44104</v>
      </c>
      <c r="F471" s="66">
        <v>44105</v>
      </c>
      <c r="G471" s="66">
        <v>44110</v>
      </c>
      <c r="H471" s="67">
        <v>0.0525</v>
      </c>
      <c r="I471" s="60">
        <v>0.0658</v>
      </c>
      <c r="J471" s="113">
        <v>0</v>
      </c>
      <c r="K471" s="113">
        <v>0.0658</v>
      </c>
      <c r="L471" s="60">
        <f>+K471-((K471*0.0016*0.125)+(K471*(1-0.0016)*0.26))</f>
        <v>0.048706212799999996</v>
      </c>
      <c r="M471" s="60">
        <f t="shared" si="12"/>
        <v>0.048706212799999996</v>
      </c>
      <c r="N471" s="73" t="s">
        <v>248</v>
      </c>
      <c r="GP471" s="10"/>
      <c r="GQ471" s="10"/>
    </row>
    <row r="472" spans="1:14" ht="23.25" customHeight="1">
      <c r="A472" s="19" t="s">
        <v>189</v>
      </c>
      <c r="B472" s="12" t="s">
        <v>139</v>
      </c>
      <c r="C472" s="64" t="s">
        <v>344</v>
      </c>
      <c r="D472" s="12" t="s">
        <v>410</v>
      </c>
      <c r="E472" s="65">
        <v>44104</v>
      </c>
      <c r="F472" s="66">
        <v>44105</v>
      </c>
      <c r="G472" s="66">
        <v>44110</v>
      </c>
      <c r="H472" s="67">
        <v>0.035</v>
      </c>
      <c r="I472" s="60">
        <v>0.0418</v>
      </c>
      <c r="J472" s="113">
        <v>0.003312497884758041</v>
      </c>
      <c r="K472" s="113">
        <v>0.038487502115241955</v>
      </c>
      <c r="L472" s="60">
        <f>+K472-((K472*0.7742*0.125)+(K472*(1-0.7742)*0.26))</f>
        <v>0.03250334982385779</v>
      </c>
      <c r="M472" s="60">
        <f t="shared" si="12"/>
        <v>0.03581584770861583</v>
      </c>
      <c r="N472" s="73" t="s">
        <v>248</v>
      </c>
    </row>
    <row r="473" spans="1:14" ht="23.25" customHeight="1">
      <c r="A473" s="19" t="s">
        <v>197</v>
      </c>
      <c r="B473" s="12" t="s">
        <v>161</v>
      </c>
      <c r="C473" s="69" t="s">
        <v>345</v>
      </c>
      <c r="D473" s="12" t="s">
        <v>410</v>
      </c>
      <c r="E473" s="65">
        <v>44104</v>
      </c>
      <c r="F473" s="66">
        <v>44105</v>
      </c>
      <c r="G473" s="66">
        <v>44110</v>
      </c>
      <c r="H473" s="67">
        <v>0.035</v>
      </c>
      <c r="I473" s="60">
        <v>0.0417</v>
      </c>
      <c r="J473" s="113">
        <v>0.008688726867196161</v>
      </c>
      <c r="K473" s="113">
        <v>0.03301127313280384</v>
      </c>
      <c r="L473" s="60">
        <f>+K473-((K473*0.7742*0.125)+(K473*(1-0.7742)*0.26))</f>
        <v>0.027878581352296098</v>
      </c>
      <c r="M473" s="60">
        <f aca="true" t="shared" si="13" ref="M473:M504">J473+L473</f>
        <v>0.03656730821949226</v>
      </c>
      <c r="N473" s="73" t="s">
        <v>248</v>
      </c>
    </row>
    <row r="474" spans="1:199" ht="23.25" customHeight="1">
      <c r="A474" s="40"/>
      <c r="B474" s="12" t="s">
        <v>191</v>
      </c>
      <c r="C474" s="69" t="s">
        <v>346</v>
      </c>
      <c r="D474" s="12" t="s">
        <v>411</v>
      </c>
      <c r="E474" s="65">
        <v>44104</v>
      </c>
      <c r="F474" s="66">
        <v>44105</v>
      </c>
      <c r="G474" s="66">
        <v>44110</v>
      </c>
      <c r="H474" s="67">
        <v>0.035</v>
      </c>
      <c r="I474" s="60">
        <v>0.0147</v>
      </c>
      <c r="J474" s="113">
        <v>0</v>
      </c>
      <c r="K474" s="113">
        <v>0.0147</v>
      </c>
      <c r="L474" s="60">
        <f>+K474-((K474*0.7742*0.125)+(K474*(1-0.7742)*0.26))</f>
        <v>0.0124143999</v>
      </c>
      <c r="M474" s="60">
        <f t="shared" si="13"/>
        <v>0.0124143999</v>
      </c>
      <c r="N474" s="67" t="s">
        <v>251</v>
      </c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</row>
    <row r="475" spans="1:14" ht="23.25" customHeight="1">
      <c r="A475" s="23" t="s">
        <v>96</v>
      </c>
      <c r="B475" s="12" t="s">
        <v>199</v>
      </c>
      <c r="C475" s="74" t="s">
        <v>347</v>
      </c>
      <c r="D475" s="73" t="s">
        <v>411</v>
      </c>
      <c r="E475" s="65">
        <v>44104</v>
      </c>
      <c r="F475" s="66">
        <v>44105</v>
      </c>
      <c r="G475" s="66">
        <v>44110</v>
      </c>
      <c r="H475" s="67">
        <v>0.035</v>
      </c>
      <c r="I475" s="60">
        <v>0.0147</v>
      </c>
      <c r="J475" s="113">
        <v>0</v>
      </c>
      <c r="K475" s="113">
        <v>0.0147</v>
      </c>
      <c r="L475" s="60">
        <f>+K475-((K475*0.7742*0.125)+(K475*(1-0.7742)*0.26))</f>
        <v>0.0124143999</v>
      </c>
      <c r="M475" s="60">
        <f t="shared" si="13"/>
        <v>0.0124143999</v>
      </c>
      <c r="N475" s="67" t="s">
        <v>251</v>
      </c>
    </row>
    <row r="476" spans="1:199" ht="23.25" customHeight="1">
      <c r="A476" s="23" t="s">
        <v>9</v>
      </c>
      <c r="B476" s="12" t="s">
        <v>141</v>
      </c>
      <c r="C476" s="64" t="s">
        <v>348</v>
      </c>
      <c r="D476" s="12" t="s">
        <v>410</v>
      </c>
      <c r="E476" s="65">
        <v>44104</v>
      </c>
      <c r="F476" s="66">
        <v>44105</v>
      </c>
      <c r="G476" s="66">
        <v>44110</v>
      </c>
      <c r="H476" s="67">
        <v>0.0425</v>
      </c>
      <c r="I476" s="60">
        <v>0.0517</v>
      </c>
      <c r="J476" s="113">
        <v>0</v>
      </c>
      <c r="K476" s="113">
        <v>0.0517</v>
      </c>
      <c r="L476" s="60">
        <f>+K476-((K476*0.082*0.125)+(K476*(1-0.082)*0.26))</f>
        <v>0.038830319</v>
      </c>
      <c r="M476" s="60">
        <f t="shared" si="13"/>
        <v>0.038830319</v>
      </c>
      <c r="N476" s="73" t="s">
        <v>248</v>
      </c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</row>
    <row r="477" spans="1:199" ht="23.25" customHeight="1">
      <c r="A477" s="23" t="s">
        <v>97</v>
      </c>
      <c r="B477" s="12" t="s">
        <v>140</v>
      </c>
      <c r="C477" s="64" t="s">
        <v>349</v>
      </c>
      <c r="D477" s="12" t="s">
        <v>410</v>
      </c>
      <c r="E477" s="65">
        <v>44104</v>
      </c>
      <c r="F477" s="66">
        <v>44105</v>
      </c>
      <c r="G477" s="66">
        <v>44110</v>
      </c>
      <c r="H477" s="67">
        <v>0.0425</v>
      </c>
      <c r="I477" s="60">
        <v>0.0567</v>
      </c>
      <c r="J477" s="113">
        <v>0.001208465158193116</v>
      </c>
      <c r="K477" s="113">
        <v>0.05549153484180688</v>
      </c>
      <c r="L477" s="60">
        <f>+K477-((K477*0.082*0.125)+(K477*(1-0.082)*0.26))</f>
        <v>0.041678027073635895</v>
      </c>
      <c r="M477" s="60">
        <f t="shared" si="13"/>
        <v>0.04288649223182901</v>
      </c>
      <c r="N477" s="73" t="s">
        <v>248</v>
      </c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</row>
    <row r="478" spans="1:199" ht="23.25" customHeight="1">
      <c r="A478" s="19" t="s">
        <v>186</v>
      </c>
      <c r="B478" s="12" t="s">
        <v>162</v>
      </c>
      <c r="C478" s="69" t="s">
        <v>350</v>
      </c>
      <c r="D478" s="12" t="s">
        <v>410</v>
      </c>
      <c r="E478" s="65">
        <v>44104</v>
      </c>
      <c r="F478" s="66">
        <v>44105</v>
      </c>
      <c r="G478" s="66">
        <v>44110</v>
      </c>
      <c r="H478" s="67">
        <v>0.0425</v>
      </c>
      <c r="I478" s="60">
        <v>0.0565</v>
      </c>
      <c r="J478" s="113">
        <v>0.009176172196192338</v>
      </c>
      <c r="K478" s="113">
        <v>0.047323827803807665</v>
      </c>
      <c r="L478" s="60">
        <f>+K478-((K478*0.082*0.125)+(K478*(1-0.082)*0.26))</f>
        <v>0.03554350734860582</v>
      </c>
      <c r="M478" s="60">
        <f t="shared" si="13"/>
        <v>0.044719679544798156</v>
      </c>
      <c r="N478" s="73" t="s">
        <v>248</v>
      </c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</row>
    <row r="479" spans="1:199" ht="23.25" customHeight="1">
      <c r="A479" s="19" t="s">
        <v>194</v>
      </c>
      <c r="B479" s="12" t="s">
        <v>302</v>
      </c>
      <c r="C479" s="64" t="s">
        <v>405</v>
      </c>
      <c r="D479" s="12" t="s">
        <v>410</v>
      </c>
      <c r="E479" s="65">
        <v>44104</v>
      </c>
      <c r="F479" s="66">
        <v>44105</v>
      </c>
      <c r="G479" s="66">
        <v>44110</v>
      </c>
      <c r="H479" s="67">
        <v>0.0425</v>
      </c>
      <c r="I479" s="60">
        <v>0.0538</v>
      </c>
      <c r="J479" s="113">
        <v>0.0024455565814699484</v>
      </c>
      <c r="K479" s="113">
        <v>0.05135444341853005</v>
      </c>
      <c r="L479" s="60">
        <f>+K479-((K479*0.082*0.125)+(K479*(1-0.082)*0.26))</f>
        <v>0.03857078181835536</v>
      </c>
      <c r="M479" s="60">
        <f t="shared" si="13"/>
        <v>0.04101633839982531</v>
      </c>
      <c r="N479" s="67" t="s">
        <v>248</v>
      </c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</row>
    <row r="480" spans="1:199" ht="23.25" customHeight="1">
      <c r="A480" s="23" t="s">
        <v>200</v>
      </c>
      <c r="B480" s="12" t="s">
        <v>303</v>
      </c>
      <c r="C480" s="64" t="s">
        <v>406</v>
      </c>
      <c r="D480" s="12" t="s">
        <v>410</v>
      </c>
      <c r="E480" s="65">
        <v>44104</v>
      </c>
      <c r="F480" s="66">
        <v>44105</v>
      </c>
      <c r="G480" s="66">
        <v>44110</v>
      </c>
      <c r="H480" s="67">
        <v>0.0425</v>
      </c>
      <c r="I480" s="60">
        <v>0.0532</v>
      </c>
      <c r="J480" s="113">
        <v>0.0035314130506247958</v>
      </c>
      <c r="K480" s="113">
        <v>0.049668586949375204</v>
      </c>
      <c r="L480" s="60">
        <f>+K480-((K480*0.082*0.125)+(K480*(1-0.082)*0.26))</f>
        <v>0.03730458560006723</v>
      </c>
      <c r="M480" s="60">
        <f t="shared" si="13"/>
        <v>0.040835998650692026</v>
      </c>
      <c r="N480" s="67" t="s">
        <v>248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</row>
    <row r="481" spans="1:199" ht="23.25" customHeight="1">
      <c r="A481" s="40"/>
      <c r="B481" s="12" t="s">
        <v>143</v>
      </c>
      <c r="C481" s="64" t="s">
        <v>351</v>
      </c>
      <c r="D481" s="12" t="s">
        <v>410</v>
      </c>
      <c r="E481" s="65">
        <v>44104</v>
      </c>
      <c r="F481" s="66">
        <v>44105</v>
      </c>
      <c r="G481" s="66">
        <v>44110</v>
      </c>
      <c r="H481" s="67">
        <v>0.004</v>
      </c>
      <c r="I481" s="60">
        <v>0.0051</v>
      </c>
      <c r="J481" s="113">
        <v>0</v>
      </c>
      <c r="K481" s="113">
        <v>0.0051</v>
      </c>
      <c r="L481" s="60">
        <f>+K481-((K481*0.5914*0.125)+(K481*(1-0.5914)*0.26))</f>
        <v>0.0041811789000000005</v>
      </c>
      <c r="M481" s="60">
        <f t="shared" si="13"/>
        <v>0.0041811789000000005</v>
      </c>
      <c r="N481" s="73" t="s">
        <v>248</v>
      </c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</row>
    <row r="482" spans="1:199" ht="23.25" customHeight="1">
      <c r="A482" s="19" t="s">
        <v>185</v>
      </c>
      <c r="B482" s="12" t="s">
        <v>145</v>
      </c>
      <c r="C482" s="64" t="s">
        <v>352</v>
      </c>
      <c r="D482" s="12" t="s">
        <v>410</v>
      </c>
      <c r="E482" s="65">
        <v>44104</v>
      </c>
      <c r="F482" s="66">
        <v>44105</v>
      </c>
      <c r="G482" s="66">
        <v>44110</v>
      </c>
      <c r="H482" s="67">
        <v>0.0045</v>
      </c>
      <c r="I482" s="60">
        <v>0.0058</v>
      </c>
      <c r="J482" s="113">
        <v>0</v>
      </c>
      <c r="K482" s="113">
        <v>0.0058</v>
      </c>
      <c r="L482" s="60">
        <f>+K482-((K482*0.0006*0.125)+(K482*(1-0.0006)*0.26))</f>
        <v>0.0042924697999999996</v>
      </c>
      <c r="M482" s="60">
        <f t="shared" si="13"/>
        <v>0.0042924697999999996</v>
      </c>
      <c r="N482" s="73" t="s">
        <v>248</v>
      </c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</row>
    <row r="483" spans="1:199" ht="23.25" customHeight="1">
      <c r="A483" s="19" t="s">
        <v>193</v>
      </c>
      <c r="B483" s="12" t="s">
        <v>144</v>
      </c>
      <c r="C483" s="64" t="s">
        <v>353</v>
      </c>
      <c r="D483" s="12" t="s">
        <v>410</v>
      </c>
      <c r="E483" s="65">
        <v>44104</v>
      </c>
      <c r="F483" s="66">
        <v>44105</v>
      </c>
      <c r="G483" s="66">
        <v>44110</v>
      </c>
      <c r="H483" s="67">
        <v>0.002</v>
      </c>
      <c r="I483" s="60">
        <v>0.0025</v>
      </c>
      <c r="J483" s="113">
        <v>0</v>
      </c>
      <c r="K483" s="113">
        <v>0.0025</v>
      </c>
      <c r="L483" s="60">
        <f>+K483-((K483*0.9352*0.125)+(K483*(1-0.9352)*0.26))</f>
        <v>0.00216563</v>
      </c>
      <c r="M483" s="60">
        <f t="shared" si="13"/>
        <v>0.00216563</v>
      </c>
      <c r="N483" s="73" t="s">
        <v>248</v>
      </c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</row>
    <row r="484" spans="1:199" ht="23.25" customHeight="1">
      <c r="A484" s="19" t="s">
        <v>195</v>
      </c>
      <c r="B484" s="12" t="s">
        <v>306</v>
      </c>
      <c r="C484" s="64" t="s">
        <v>430</v>
      </c>
      <c r="D484" s="12" t="s">
        <v>411</v>
      </c>
      <c r="E484" s="65">
        <v>44104</v>
      </c>
      <c r="F484" s="66">
        <v>44105</v>
      </c>
      <c r="G484" s="66">
        <v>44110</v>
      </c>
      <c r="H484" s="67">
        <v>0.02</v>
      </c>
      <c r="I484" s="60">
        <v>0.0084</v>
      </c>
      <c r="J484" s="113">
        <v>0</v>
      </c>
      <c r="K484" s="113">
        <v>0.0084</v>
      </c>
      <c r="L484" s="60">
        <f aca="true" t="shared" si="14" ref="L484:L489">+K484-((K484*0.0000001*0.125)+(K484*(1-0.0000001)*0.26))</f>
        <v>0.0062160001134</v>
      </c>
      <c r="M484" s="60">
        <f t="shared" si="13"/>
        <v>0.0062160001134</v>
      </c>
      <c r="N484" s="67" t="s">
        <v>251</v>
      </c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</row>
    <row r="485" spans="1:199" ht="23.25" customHeight="1">
      <c r="A485" s="40"/>
      <c r="B485" s="12" t="s">
        <v>184</v>
      </c>
      <c r="C485" s="69" t="s">
        <v>354</v>
      </c>
      <c r="D485" s="12" t="s">
        <v>411</v>
      </c>
      <c r="E485" s="65">
        <v>44104</v>
      </c>
      <c r="F485" s="66">
        <v>44105</v>
      </c>
      <c r="G485" s="66">
        <v>44110</v>
      </c>
      <c r="H485" s="67">
        <v>0.02</v>
      </c>
      <c r="I485" s="60">
        <v>0.1688</v>
      </c>
      <c r="J485" s="113">
        <v>0</v>
      </c>
      <c r="K485" s="113">
        <v>0.1688</v>
      </c>
      <c r="L485" s="60">
        <f t="shared" si="14"/>
        <v>0.1249120022788</v>
      </c>
      <c r="M485" s="60">
        <f t="shared" si="13"/>
        <v>0.1249120022788</v>
      </c>
      <c r="N485" s="67" t="s">
        <v>251</v>
      </c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</row>
    <row r="486" spans="1:199" ht="23.25" customHeight="1">
      <c r="A486" s="19" t="s">
        <v>187</v>
      </c>
      <c r="B486" s="12" t="s">
        <v>192</v>
      </c>
      <c r="C486" s="74" t="s">
        <v>355</v>
      </c>
      <c r="D486" s="73" t="s">
        <v>411</v>
      </c>
      <c r="E486" s="65">
        <v>44104</v>
      </c>
      <c r="F486" s="66">
        <v>44105</v>
      </c>
      <c r="G486" s="66">
        <v>44110</v>
      </c>
      <c r="H486" s="67">
        <v>0.02</v>
      </c>
      <c r="I486" s="60">
        <v>0.1698</v>
      </c>
      <c r="J486" s="113">
        <v>0</v>
      </c>
      <c r="K486" s="113">
        <v>0.1698</v>
      </c>
      <c r="L486" s="60">
        <f t="shared" si="14"/>
        <v>0.1256520022923</v>
      </c>
      <c r="M486" s="60">
        <f t="shared" si="13"/>
        <v>0.1256520022923</v>
      </c>
      <c r="N486" s="67" t="s">
        <v>251</v>
      </c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</row>
    <row r="487" spans="1:14" ht="23.25" customHeight="1">
      <c r="A487" s="19" t="s">
        <v>198</v>
      </c>
      <c r="B487" s="12" t="s">
        <v>311</v>
      </c>
      <c r="C487" s="64" t="s">
        <v>425</v>
      </c>
      <c r="D487" s="12" t="s">
        <v>411</v>
      </c>
      <c r="E487" s="65">
        <v>44104</v>
      </c>
      <c r="F487" s="66">
        <v>44105</v>
      </c>
      <c r="G487" s="66">
        <v>44110</v>
      </c>
      <c r="H487" s="67">
        <v>0.01</v>
      </c>
      <c r="I487" s="60">
        <v>0.0042</v>
      </c>
      <c r="J487" s="113">
        <v>0</v>
      </c>
      <c r="K487" s="113">
        <v>0.0042</v>
      </c>
      <c r="L487" s="60">
        <f t="shared" si="14"/>
        <v>0.0031080000567</v>
      </c>
      <c r="M487" s="60">
        <f t="shared" si="13"/>
        <v>0.0031080000567</v>
      </c>
      <c r="N487" s="67" t="s">
        <v>251</v>
      </c>
    </row>
    <row r="488" spans="1:14" ht="23.25" customHeight="1">
      <c r="A488" s="40"/>
      <c r="B488" s="12" t="s">
        <v>189</v>
      </c>
      <c r="C488" s="69" t="s">
        <v>356</v>
      </c>
      <c r="D488" s="12" t="s">
        <v>411</v>
      </c>
      <c r="E488" s="65">
        <v>44104</v>
      </c>
      <c r="F488" s="66">
        <v>44105</v>
      </c>
      <c r="G488" s="66">
        <v>44110</v>
      </c>
      <c r="H488" s="67">
        <v>0.01</v>
      </c>
      <c r="I488" s="60">
        <v>0.0763</v>
      </c>
      <c r="J488" s="113">
        <v>0</v>
      </c>
      <c r="K488" s="113">
        <v>0.0763</v>
      </c>
      <c r="L488" s="60">
        <f t="shared" si="14"/>
        <v>0.05646200103005</v>
      </c>
      <c r="M488" s="60">
        <f t="shared" si="13"/>
        <v>0.05646200103005</v>
      </c>
      <c r="N488" s="67" t="s">
        <v>251</v>
      </c>
    </row>
    <row r="489" spans="1:14" ht="23.25" customHeight="1">
      <c r="A489" s="19" t="s">
        <v>190</v>
      </c>
      <c r="B489" s="12" t="s">
        <v>197</v>
      </c>
      <c r="C489" s="74" t="s">
        <v>357</v>
      </c>
      <c r="D489" s="73" t="s">
        <v>411</v>
      </c>
      <c r="E489" s="65">
        <v>44104</v>
      </c>
      <c r="F489" s="66">
        <v>44105</v>
      </c>
      <c r="G489" s="66">
        <v>44110</v>
      </c>
      <c r="H489" s="67">
        <v>0.01</v>
      </c>
      <c r="I489" s="60">
        <v>0.0774</v>
      </c>
      <c r="J489" s="113">
        <v>0</v>
      </c>
      <c r="K489" s="113">
        <v>0.0774</v>
      </c>
      <c r="L489" s="60">
        <f t="shared" si="14"/>
        <v>0.05727600104489999</v>
      </c>
      <c r="M489" s="60">
        <f t="shared" si="13"/>
        <v>0.05727600104489999</v>
      </c>
      <c r="N489" s="67" t="s">
        <v>251</v>
      </c>
    </row>
    <row r="490" spans="1:14" ht="23.25" customHeight="1">
      <c r="A490" s="23" t="s">
        <v>99</v>
      </c>
      <c r="B490" s="12" t="s">
        <v>148</v>
      </c>
      <c r="C490" s="64" t="s">
        <v>362</v>
      </c>
      <c r="D490" s="12" t="s">
        <v>410</v>
      </c>
      <c r="E490" s="65">
        <v>44104</v>
      </c>
      <c r="F490" s="66">
        <v>44105</v>
      </c>
      <c r="G490" s="66">
        <v>44110</v>
      </c>
      <c r="H490" s="67">
        <v>0.015</v>
      </c>
      <c r="I490" s="60">
        <v>0.0199</v>
      </c>
      <c r="J490" s="113">
        <v>0</v>
      </c>
      <c r="K490" s="113">
        <v>0.0199</v>
      </c>
      <c r="L490" s="60">
        <f>+K490-((K490*0.4996*0.125)+(K490*(1-0.4996)*0.26))</f>
        <v>0.016068175400000002</v>
      </c>
      <c r="M490" s="60">
        <f t="shared" si="13"/>
        <v>0.016068175400000002</v>
      </c>
      <c r="N490" s="73" t="s">
        <v>248</v>
      </c>
    </row>
    <row r="491" spans="1:14" ht="23.25" customHeight="1">
      <c r="A491" s="19"/>
      <c r="B491" s="12" t="s">
        <v>308</v>
      </c>
      <c r="C491" s="64" t="s">
        <v>426</v>
      </c>
      <c r="D491" s="12" t="s">
        <v>411</v>
      </c>
      <c r="E491" s="65">
        <v>44104</v>
      </c>
      <c r="F491" s="66">
        <v>44105</v>
      </c>
      <c r="G491" s="66">
        <v>44110</v>
      </c>
      <c r="H491" s="67">
        <v>0.015</v>
      </c>
      <c r="I491" s="60">
        <v>0.0062</v>
      </c>
      <c r="J491" s="113">
        <v>0</v>
      </c>
      <c r="K491" s="113">
        <v>0.0062</v>
      </c>
      <c r="L491" s="60">
        <f>+K491-((K491*0.4996*0.125)+(K491*(1-0.4996)*0.26))</f>
        <v>0.0050061652</v>
      </c>
      <c r="M491" s="60">
        <f t="shared" si="13"/>
        <v>0.0050061652</v>
      </c>
      <c r="N491" s="67" t="s">
        <v>251</v>
      </c>
    </row>
    <row r="492" spans="1:199" s="6" customFormat="1" ht="23.25" customHeight="1">
      <c r="A492" s="1"/>
      <c r="B492" s="12" t="s">
        <v>186</v>
      </c>
      <c r="C492" s="69" t="s">
        <v>363</v>
      </c>
      <c r="D492" s="12" t="s">
        <v>411</v>
      </c>
      <c r="E492" s="65">
        <v>44104</v>
      </c>
      <c r="F492" s="66">
        <v>44105</v>
      </c>
      <c r="G492" s="66">
        <v>44110</v>
      </c>
      <c r="H492" s="67">
        <v>0.015</v>
      </c>
      <c r="I492" s="60">
        <v>0.114</v>
      </c>
      <c r="J492" s="113">
        <v>0</v>
      </c>
      <c r="K492" s="113">
        <v>0.114</v>
      </c>
      <c r="L492" s="60">
        <f>+K492-((K492*0.4996*0.125)+(K492*(1-0.4996)*0.26))</f>
        <v>0.092048844</v>
      </c>
      <c r="M492" s="60">
        <f t="shared" si="13"/>
        <v>0.092048844</v>
      </c>
      <c r="N492" s="67" t="s">
        <v>251</v>
      </c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</row>
    <row r="493" spans="1:199" s="6" customFormat="1" ht="23.25" customHeight="1">
      <c r="A493" s="1"/>
      <c r="B493" s="12" t="s">
        <v>194</v>
      </c>
      <c r="C493" s="74" t="s">
        <v>364</v>
      </c>
      <c r="D493" s="73" t="s">
        <v>411</v>
      </c>
      <c r="E493" s="65">
        <v>44104</v>
      </c>
      <c r="F493" s="66">
        <v>44105</v>
      </c>
      <c r="G493" s="66">
        <v>44110</v>
      </c>
      <c r="H493" s="67">
        <v>0.015</v>
      </c>
      <c r="I493" s="60">
        <v>0.1168</v>
      </c>
      <c r="J493" s="113">
        <v>0</v>
      </c>
      <c r="K493" s="113">
        <v>0.1168</v>
      </c>
      <c r="L493" s="60">
        <f>+K493-((K493*0.4996*0.125)+(K493*(1-0.4996)*0.26))</f>
        <v>0.0943096928</v>
      </c>
      <c r="M493" s="60">
        <f t="shared" si="13"/>
        <v>0.0943096928</v>
      </c>
      <c r="N493" s="67" t="s">
        <v>251</v>
      </c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</row>
    <row r="494" spans="1:199" s="6" customFormat="1" ht="23.25" customHeight="1">
      <c r="A494" s="1"/>
      <c r="B494" s="12" t="s">
        <v>200</v>
      </c>
      <c r="C494" s="74" t="s">
        <v>365</v>
      </c>
      <c r="D494" s="12" t="s">
        <v>410</v>
      </c>
      <c r="E494" s="65">
        <v>44104</v>
      </c>
      <c r="F494" s="66">
        <v>44105</v>
      </c>
      <c r="G494" s="66">
        <v>44110</v>
      </c>
      <c r="H494" s="67">
        <v>0.015</v>
      </c>
      <c r="I494" s="60">
        <v>0.3704</v>
      </c>
      <c r="J494" s="113">
        <v>0.033038199194603324</v>
      </c>
      <c r="K494" s="113">
        <v>0.3373618008053967</v>
      </c>
      <c r="L494" s="60">
        <f>+K494-((K494*0.4996*0.125)+(K494*(1-0.4996)*0.26))</f>
        <v>0.27240143661311433</v>
      </c>
      <c r="M494" s="60">
        <f t="shared" si="13"/>
        <v>0.30543963580771766</v>
      </c>
      <c r="N494" s="67" t="s">
        <v>248</v>
      </c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</row>
    <row r="495" spans="1:14" ht="23.25" customHeight="1">
      <c r="A495" s="23" t="s">
        <v>95</v>
      </c>
      <c r="B495" s="12" t="s">
        <v>307</v>
      </c>
      <c r="C495" s="64" t="s">
        <v>420</v>
      </c>
      <c r="D495" s="12" t="s">
        <v>411</v>
      </c>
      <c r="E495" s="65">
        <v>44104</v>
      </c>
      <c r="F495" s="66">
        <v>44105</v>
      </c>
      <c r="G495" s="66">
        <v>44110</v>
      </c>
      <c r="H495" s="67">
        <v>0.015</v>
      </c>
      <c r="I495" s="60">
        <v>0.0062</v>
      </c>
      <c r="J495" s="113">
        <v>0</v>
      </c>
      <c r="K495" s="113">
        <v>0.0062</v>
      </c>
      <c r="L495" s="60">
        <f>+K495-((K495*0.619*0.125)+(K495*(1-0.619)*0.26))</f>
        <v>0.005106103</v>
      </c>
      <c r="M495" s="60">
        <f t="shared" si="13"/>
        <v>0.005106103</v>
      </c>
      <c r="N495" s="67" t="s">
        <v>251</v>
      </c>
    </row>
    <row r="496" spans="1:14" ht="23.25" customHeight="1">
      <c r="A496" s="23" t="s">
        <v>182</v>
      </c>
      <c r="B496" s="12" t="s">
        <v>185</v>
      </c>
      <c r="C496" s="69" t="s">
        <v>366</v>
      </c>
      <c r="D496" s="12" t="s">
        <v>411</v>
      </c>
      <c r="E496" s="65">
        <v>44104</v>
      </c>
      <c r="F496" s="66">
        <v>44105</v>
      </c>
      <c r="G496" s="66">
        <v>44110</v>
      </c>
      <c r="H496" s="67">
        <v>0.015</v>
      </c>
      <c r="I496" s="60">
        <v>0.1039</v>
      </c>
      <c r="J496" s="113">
        <v>0</v>
      </c>
      <c r="K496" s="113">
        <v>0.1039</v>
      </c>
      <c r="L496" s="60">
        <f>+K496-((K496*0.619*0.125)+(K496*(1-0.619)*0.26))</f>
        <v>0.0855684035</v>
      </c>
      <c r="M496" s="60">
        <f t="shared" si="13"/>
        <v>0.0855684035</v>
      </c>
      <c r="N496" s="67" t="s">
        <v>251</v>
      </c>
    </row>
    <row r="497" spans="1:199" ht="23.25" customHeight="1">
      <c r="A497" s="23" t="s">
        <v>202</v>
      </c>
      <c r="B497" s="12" t="s">
        <v>193</v>
      </c>
      <c r="C497" s="74" t="s">
        <v>367</v>
      </c>
      <c r="D497" s="73" t="s">
        <v>411</v>
      </c>
      <c r="E497" s="65">
        <v>44104</v>
      </c>
      <c r="F497" s="66">
        <v>44105</v>
      </c>
      <c r="G497" s="66">
        <v>44110</v>
      </c>
      <c r="H497" s="67">
        <v>0.015</v>
      </c>
      <c r="I497" s="60">
        <v>0.1009</v>
      </c>
      <c r="J497" s="113">
        <v>0</v>
      </c>
      <c r="K497" s="113">
        <v>0.1009</v>
      </c>
      <c r="L497" s="60">
        <f>+K497-((K497*0.619*0.125)+(K497*(1-0.619)*0.26))</f>
        <v>0.0830977085</v>
      </c>
      <c r="M497" s="60">
        <f t="shared" si="13"/>
        <v>0.0830977085</v>
      </c>
      <c r="N497" s="67" t="s">
        <v>251</v>
      </c>
      <c r="GP497" s="10"/>
      <c r="GQ497" s="10"/>
    </row>
    <row r="498" spans="1:14" ht="23.25" customHeight="1">
      <c r="A498" s="23" t="s">
        <v>27</v>
      </c>
      <c r="B498" s="12" t="s">
        <v>309</v>
      </c>
      <c r="C498" s="64" t="s">
        <v>427</v>
      </c>
      <c r="D498" s="12" t="s">
        <v>411</v>
      </c>
      <c r="E498" s="65">
        <v>44104</v>
      </c>
      <c r="F498" s="66">
        <v>44105</v>
      </c>
      <c r="G498" s="66">
        <v>44110</v>
      </c>
      <c r="H498" s="67">
        <v>0.035</v>
      </c>
      <c r="I498" s="60">
        <v>0.0145</v>
      </c>
      <c r="J498" s="113">
        <v>0</v>
      </c>
      <c r="K498" s="113">
        <v>0.0145</v>
      </c>
      <c r="L498" s="60">
        <f>+K498-((K498*0.0000001*0.125)+(K498*(1-0.0000001)*0.26))</f>
        <v>0.01073000019575</v>
      </c>
      <c r="M498" s="60">
        <f t="shared" si="13"/>
        <v>0.01073000019575</v>
      </c>
      <c r="N498" s="67" t="s">
        <v>251</v>
      </c>
    </row>
    <row r="499" spans="1:14" ht="23.25" customHeight="1">
      <c r="A499" s="23" t="s">
        <v>10</v>
      </c>
      <c r="B499" s="12" t="s">
        <v>187</v>
      </c>
      <c r="C499" s="69" t="s">
        <v>368</v>
      </c>
      <c r="D499" s="12" t="s">
        <v>411</v>
      </c>
      <c r="E499" s="65">
        <v>44104</v>
      </c>
      <c r="F499" s="66">
        <v>44105</v>
      </c>
      <c r="G499" s="66">
        <v>44110</v>
      </c>
      <c r="H499" s="67">
        <v>0.035</v>
      </c>
      <c r="I499" s="60">
        <v>0.2568</v>
      </c>
      <c r="J499" s="113">
        <v>0</v>
      </c>
      <c r="K499" s="113">
        <v>0.2568</v>
      </c>
      <c r="L499" s="60">
        <f>+K499-((K499*0.0000001*0.125)+(K499*(1-0.0000001)*0.26))</f>
        <v>0.19003200346679996</v>
      </c>
      <c r="M499" s="60">
        <f t="shared" si="13"/>
        <v>0.19003200346679996</v>
      </c>
      <c r="N499" s="67" t="s">
        <v>251</v>
      </c>
    </row>
    <row r="500" spans="1:14" ht="23.25" customHeight="1">
      <c r="A500" s="23" t="s">
        <v>100</v>
      </c>
      <c r="B500" s="12" t="s">
        <v>195</v>
      </c>
      <c r="C500" s="74" t="s">
        <v>369</v>
      </c>
      <c r="D500" s="73" t="s">
        <v>411</v>
      </c>
      <c r="E500" s="65">
        <v>44104</v>
      </c>
      <c r="F500" s="66">
        <v>44105</v>
      </c>
      <c r="G500" s="66">
        <v>44110</v>
      </c>
      <c r="H500" s="67">
        <v>0.035</v>
      </c>
      <c r="I500" s="60">
        <v>0.264</v>
      </c>
      <c r="J500" s="113">
        <v>0</v>
      </c>
      <c r="K500" s="113">
        <v>0.264</v>
      </c>
      <c r="L500" s="60">
        <f>+K500-((K500*0.0000001*0.125)+(K500*(1-0.0000001)*0.26))</f>
        <v>0.19536000356400002</v>
      </c>
      <c r="M500" s="60">
        <f t="shared" si="13"/>
        <v>0.19536000356400002</v>
      </c>
      <c r="N500" s="67" t="s">
        <v>251</v>
      </c>
    </row>
    <row r="501" spans="1:14" ht="23.25" customHeight="1">
      <c r="A501" s="23" t="s">
        <v>102</v>
      </c>
      <c r="B501" s="12" t="s">
        <v>312</v>
      </c>
      <c r="C501" s="64" t="s">
        <v>428</v>
      </c>
      <c r="D501" s="12" t="s">
        <v>411</v>
      </c>
      <c r="E501" s="65">
        <v>44104</v>
      </c>
      <c r="F501" s="66">
        <v>44105</v>
      </c>
      <c r="G501" s="66">
        <v>44110</v>
      </c>
      <c r="H501" s="67">
        <v>0.05</v>
      </c>
      <c r="I501" s="60">
        <v>0.0211</v>
      </c>
      <c r="J501" s="113">
        <v>0</v>
      </c>
      <c r="K501" s="113">
        <v>0.0211</v>
      </c>
      <c r="L501" s="60">
        <f>+K501-((K501*0.028*0.125)+(K501*(1-0.028)*0.26))</f>
        <v>0.015693758</v>
      </c>
      <c r="M501" s="60">
        <f t="shared" si="13"/>
        <v>0.015693758</v>
      </c>
      <c r="N501" s="67" t="s">
        <v>251</v>
      </c>
    </row>
    <row r="502" spans="1:14" ht="23.25" customHeight="1">
      <c r="A502" s="23" t="s">
        <v>98</v>
      </c>
      <c r="B502" s="12" t="s">
        <v>190</v>
      </c>
      <c r="C502" s="69" t="s">
        <v>370</v>
      </c>
      <c r="D502" s="12" t="s">
        <v>411</v>
      </c>
      <c r="E502" s="65">
        <v>44104</v>
      </c>
      <c r="F502" s="66">
        <v>44105</v>
      </c>
      <c r="G502" s="66">
        <v>44110</v>
      </c>
      <c r="H502" s="67">
        <v>0.05</v>
      </c>
      <c r="I502" s="60">
        <v>0.3999</v>
      </c>
      <c r="J502" s="113">
        <v>0</v>
      </c>
      <c r="K502" s="113">
        <v>0.3999</v>
      </c>
      <c r="L502" s="60">
        <f>+K502-((K502*0.028*0.125)+(K502*(1-0.028)*0.26))</f>
        <v>0.297437622</v>
      </c>
      <c r="M502" s="60">
        <f t="shared" si="13"/>
        <v>0.297437622</v>
      </c>
      <c r="N502" s="67" t="s">
        <v>251</v>
      </c>
    </row>
    <row r="503" spans="1:14" ht="23.25" customHeight="1">
      <c r="A503" s="23" t="s">
        <v>11</v>
      </c>
      <c r="B503" s="12" t="s">
        <v>198</v>
      </c>
      <c r="C503" s="74" t="s">
        <v>371</v>
      </c>
      <c r="D503" s="73" t="s">
        <v>411</v>
      </c>
      <c r="E503" s="65">
        <v>44104</v>
      </c>
      <c r="F503" s="66">
        <v>44105</v>
      </c>
      <c r="G503" s="66">
        <v>44110</v>
      </c>
      <c r="H503" s="67">
        <v>0.05</v>
      </c>
      <c r="I503" s="60">
        <v>0.3995</v>
      </c>
      <c r="J503" s="113">
        <v>0</v>
      </c>
      <c r="K503" s="113">
        <v>0.3995</v>
      </c>
      <c r="L503" s="60">
        <f>+K503-((K503*0.028*0.125)+(K503*(1-0.028)*0.26))</f>
        <v>0.29714011</v>
      </c>
      <c r="M503" s="60">
        <f t="shared" si="13"/>
        <v>0.29714011</v>
      </c>
      <c r="N503" s="67" t="s">
        <v>251</v>
      </c>
    </row>
    <row r="504" spans="1:14" ht="23.25" customHeight="1">
      <c r="A504" s="23" t="s">
        <v>196</v>
      </c>
      <c r="B504" s="12" t="s">
        <v>516</v>
      </c>
      <c r="C504" s="64" t="s">
        <v>518</v>
      </c>
      <c r="D504" s="12" t="s">
        <v>411</v>
      </c>
      <c r="E504" s="65">
        <v>44104</v>
      </c>
      <c r="F504" s="66">
        <v>44105</v>
      </c>
      <c r="G504" s="66">
        <v>44110</v>
      </c>
      <c r="H504" s="70">
        <v>0.02</v>
      </c>
      <c r="I504" s="60">
        <v>0.1357</v>
      </c>
      <c r="J504" s="113">
        <v>0.03117929408948461</v>
      </c>
      <c r="K504" s="113">
        <v>0.10452070591051538</v>
      </c>
      <c r="L504" s="60">
        <f>+K504-((K504*0.4903*0.125)+(K504*(1-0.4903)*0.26))</f>
        <v>0.08426360015835134</v>
      </c>
      <c r="M504" s="60">
        <f t="shared" si="13"/>
        <v>0.11544289424783595</v>
      </c>
      <c r="N504" s="67" t="s">
        <v>251</v>
      </c>
    </row>
    <row r="505" spans="1:14" ht="23.25" customHeight="1">
      <c r="A505" s="19"/>
      <c r="B505" s="12" t="s">
        <v>517</v>
      </c>
      <c r="C505" s="64" t="s">
        <v>519</v>
      </c>
      <c r="D505" s="12" t="s">
        <v>411</v>
      </c>
      <c r="E505" s="65">
        <v>44104</v>
      </c>
      <c r="F505" s="66">
        <v>44105</v>
      </c>
      <c r="G505" s="66">
        <v>44110</v>
      </c>
      <c r="H505" s="70">
        <v>0.02</v>
      </c>
      <c r="I505" s="60">
        <v>0.1364</v>
      </c>
      <c r="J505" s="113">
        <v>0.06936719217067959</v>
      </c>
      <c r="K505" s="113">
        <v>0.06703280782932039</v>
      </c>
      <c r="L505" s="60">
        <f>+K505-((K505*0.4903*0.125)+(K505*(1-0.4903)*0.26))</f>
        <v>0.05404121286032372</v>
      </c>
      <c r="M505" s="60">
        <f>J505+L505</f>
        <v>0.12340840503100331</v>
      </c>
      <c r="N505" s="67" t="s">
        <v>251</v>
      </c>
    </row>
    <row r="506" spans="1:14" ht="23.25" customHeight="1">
      <c r="A506" s="23" t="s">
        <v>101</v>
      </c>
      <c r="B506" s="12" t="s">
        <v>173</v>
      </c>
      <c r="C506" s="74" t="s">
        <v>372</v>
      </c>
      <c r="D506" s="12" t="s">
        <v>410</v>
      </c>
      <c r="E506" s="65">
        <v>44104</v>
      </c>
      <c r="F506" s="66">
        <v>44105</v>
      </c>
      <c r="G506" s="66">
        <v>44110</v>
      </c>
      <c r="H506" s="67">
        <v>0.01</v>
      </c>
      <c r="I506" s="60">
        <v>0.0131</v>
      </c>
      <c r="J506" s="113">
        <v>0.009209774070750529</v>
      </c>
      <c r="K506" s="113">
        <v>0.003890225929249473</v>
      </c>
      <c r="L506" s="60">
        <f>+K506-((K506*0.355*0.125)+(K506*(1-0.355)*0.26))</f>
        <v>0.003065206265303891</v>
      </c>
      <c r="M506" s="60">
        <f>J506+L506</f>
        <v>0.01227498033605442</v>
      </c>
      <c r="N506" s="67" t="s">
        <v>248</v>
      </c>
    </row>
    <row r="507" spans="1:199" ht="23.25" customHeight="1">
      <c r="A507" s="23" t="s">
        <v>12</v>
      </c>
      <c r="B507" s="12" t="s">
        <v>150</v>
      </c>
      <c r="C507" s="64" t="s">
        <v>377</v>
      </c>
      <c r="D507" s="12" t="s">
        <v>410</v>
      </c>
      <c r="E507" s="65">
        <v>44104</v>
      </c>
      <c r="F507" s="66">
        <v>44105</v>
      </c>
      <c r="G507" s="66">
        <v>44110</v>
      </c>
      <c r="H507" s="67">
        <v>0.0225</v>
      </c>
      <c r="I507" s="60">
        <v>0.0317</v>
      </c>
      <c r="J507" s="113">
        <v>0</v>
      </c>
      <c r="K507" s="113">
        <v>0.0317</v>
      </c>
      <c r="L507" s="60">
        <f>+K507-((K507*0.0000001*0.125)+(K507*(1-0.0000001)*0.26))</f>
        <v>0.023458000427949998</v>
      </c>
      <c r="M507" s="60">
        <f>J507+L507</f>
        <v>0.023458000427949998</v>
      </c>
      <c r="N507" s="73" t="s">
        <v>248</v>
      </c>
      <c r="GP507" s="10"/>
      <c r="GQ507" s="10"/>
    </row>
    <row r="508" spans="1:199" ht="23.25" customHeight="1">
      <c r="A508" s="19"/>
      <c r="B508" s="12" t="s">
        <v>513</v>
      </c>
      <c r="C508" s="64" t="s">
        <v>512</v>
      </c>
      <c r="D508" s="12" t="s">
        <v>410</v>
      </c>
      <c r="E508" s="65">
        <v>44104</v>
      </c>
      <c r="F508" s="66">
        <v>44105</v>
      </c>
      <c r="G508" s="66">
        <v>44110</v>
      </c>
      <c r="H508" s="67">
        <v>0.0225</v>
      </c>
      <c r="I508" s="60">
        <v>0.0281</v>
      </c>
      <c r="J508" s="113">
        <v>0</v>
      </c>
      <c r="K508" s="113">
        <v>0.0281</v>
      </c>
      <c r="L508" s="60">
        <f>+K508-((K508*0.0000001*0.125)+(K508*(1-0.0000001)*0.26))</f>
        <v>0.02079400037935</v>
      </c>
      <c r="M508" s="60">
        <v>0</v>
      </c>
      <c r="N508" s="67" t="s">
        <v>248</v>
      </c>
      <c r="GP508" s="10"/>
      <c r="GQ508" s="10"/>
    </row>
    <row r="509" spans="1:14" ht="23.25" customHeight="1">
      <c r="A509" s="23" t="s">
        <v>230</v>
      </c>
      <c r="B509" s="12" t="s">
        <v>441</v>
      </c>
      <c r="C509" s="64" t="s">
        <v>444</v>
      </c>
      <c r="D509" s="12" t="s">
        <v>410</v>
      </c>
      <c r="E509" s="65">
        <v>44104</v>
      </c>
      <c r="F509" s="66">
        <v>44105</v>
      </c>
      <c r="G509" s="66">
        <v>44110</v>
      </c>
      <c r="H509" s="67">
        <v>0.015</v>
      </c>
      <c r="I509" s="60">
        <v>0.0187</v>
      </c>
      <c r="J509" s="113">
        <v>0.0187</v>
      </c>
      <c r="K509" s="113">
        <v>0</v>
      </c>
      <c r="L509" s="60">
        <f>+K509-((K509*0.2111*0.125)+(K509*(1-0.2111)*0.26))</f>
        <v>0</v>
      </c>
      <c r="M509" s="60">
        <f aca="true" t="shared" si="15" ref="M509:M540">J509+L509</f>
        <v>0.0187</v>
      </c>
      <c r="N509" s="67" t="s">
        <v>248</v>
      </c>
    </row>
    <row r="510" spans="1:199" ht="23.25" customHeight="1">
      <c r="A510" s="19"/>
      <c r="B510" s="12" t="s">
        <v>440</v>
      </c>
      <c r="C510" s="64" t="s">
        <v>443</v>
      </c>
      <c r="D510" s="12" t="s">
        <v>410</v>
      </c>
      <c r="E510" s="65">
        <v>44104</v>
      </c>
      <c r="F510" s="66">
        <v>44105</v>
      </c>
      <c r="G510" s="66">
        <v>44110</v>
      </c>
      <c r="H510" s="67">
        <v>0.015</v>
      </c>
      <c r="I510" s="60">
        <v>0.3792</v>
      </c>
      <c r="J510" s="113">
        <v>0.3792</v>
      </c>
      <c r="K510" s="113">
        <v>0</v>
      </c>
      <c r="L510" s="60">
        <f>+K510-((K510*0.2111*0.125)+(K510*(1-0.2111)*0.26))</f>
        <v>0</v>
      </c>
      <c r="M510" s="60">
        <f t="shared" si="15"/>
        <v>0.3792</v>
      </c>
      <c r="N510" s="67" t="s">
        <v>248</v>
      </c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  <c r="FN510" s="29"/>
      <c r="FO510" s="29"/>
      <c r="FP510" s="29"/>
      <c r="FQ510" s="29"/>
      <c r="FR510" s="29"/>
      <c r="FS510" s="29"/>
      <c r="FT510" s="29"/>
      <c r="FU510" s="29"/>
      <c r="FV510" s="29"/>
      <c r="FW510" s="29"/>
      <c r="FX510" s="29"/>
      <c r="FY510" s="29"/>
      <c r="FZ510" s="29"/>
      <c r="GA510" s="29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  <c r="GO510" s="29"/>
      <c r="GP510" s="29"/>
      <c r="GQ510" s="29"/>
    </row>
    <row r="511" spans="1:199" ht="23.25" customHeight="1">
      <c r="A511" s="19"/>
      <c r="B511" s="12" t="s">
        <v>299</v>
      </c>
      <c r="C511" s="64" t="s">
        <v>520</v>
      </c>
      <c r="D511" s="12" t="s">
        <v>410</v>
      </c>
      <c r="E511" s="65">
        <v>44104</v>
      </c>
      <c r="F511" s="66">
        <v>44105</v>
      </c>
      <c r="G511" s="66">
        <v>44110</v>
      </c>
      <c r="H511" s="67"/>
      <c r="I511" s="60">
        <v>0.0187</v>
      </c>
      <c r="J511" s="113">
        <v>0</v>
      </c>
      <c r="K511" s="113">
        <v>0.0187</v>
      </c>
      <c r="L511" s="60">
        <f>+K511-((K511*0.3305*0.125)+(K511*(1-0.3305)*0.26))</f>
        <v>0.014672347250000002</v>
      </c>
      <c r="M511" s="60">
        <f t="shared" si="15"/>
        <v>0.014672347250000002</v>
      </c>
      <c r="N511" s="67" t="s">
        <v>248</v>
      </c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</row>
    <row r="512" spans="1:252" s="29" customFormat="1" ht="23.25" customHeight="1">
      <c r="A512" s="12"/>
      <c r="B512" s="12" t="s">
        <v>182</v>
      </c>
      <c r="C512" s="69" t="s">
        <v>479</v>
      </c>
      <c r="D512" s="12" t="s">
        <v>410</v>
      </c>
      <c r="E512" s="65">
        <v>44104</v>
      </c>
      <c r="F512" s="66">
        <v>44105</v>
      </c>
      <c r="G512" s="66">
        <v>44110</v>
      </c>
      <c r="H512" s="67">
        <v>0.015</v>
      </c>
      <c r="I512" s="60">
        <v>0.3656</v>
      </c>
      <c r="J512" s="113">
        <v>0</v>
      </c>
      <c r="K512" s="113">
        <v>0.3656</v>
      </c>
      <c r="L512" s="60">
        <f>+K512-((K512*0.3305*0.125)+(K512*(1-0.3305)*0.26))</f>
        <v>0.28685615799999997</v>
      </c>
      <c r="M512" s="60">
        <f t="shared" si="15"/>
        <v>0.28685615799999997</v>
      </c>
      <c r="N512" s="73" t="s">
        <v>248</v>
      </c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</row>
    <row r="513" spans="1:14" s="29" customFormat="1" ht="23.25" customHeight="1">
      <c r="A513" s="12"/>
      <c r="B513" s="12" t="s">
        <v>202</v>
      </c>
      <c r="C513" s="74" t="s">
        <v>480</v>
      </c>
      <c r="D513" s="12" t="s">
        <v>410</v>
      </c>
      <c r="E513" s="65">
        <v>44104</v>
      </c>
      <c r="F513" s="66">
        <v>44105</v>
      </c>
      <c r="G513" s="66">
        <v>44110</v>
      </c>
      <c r="H513" s="67">
        <v>0.015</v>
      </c>
      <c r="I513" s="60">
        <v>0.3681</v>
      </c>
      <c r="J513" s="113">
        <v>0</v>
      </c>
      <c r="K513" s="113">
        <v>0.3681</v>
      </c>
      <c r="L513" s="60">
        <f>+K513-((K513*0.3305*0.125)+(K513*(1-0.3305)*0.26))</f>
        <v>0.28881770175</v>
      </c>
      <c r="M513" s="60">
        <f t="shared" si="15"/>
        <v>0.28881770175</v>
      </c>
      <c r="N513" s="67" t="s">
        <v>248</v>
      </c>
    </row>
    <row r="514" spans="1:14" s="29" customFormat="1" ht="23.25" customHeight="1">
      <c r="A514" s="12"/>
      <c r="B514" s="12" t="s">
        <v>146</v>
      </c>
      <c r="C514" s="64" t="s">
        <v>380</v>
      </c>
      <c r="D514" s="12" t="s">
        <v>410</v>
      </c>
      <c r="E514" s="65">
        <v>44104</v>
      </c>
      <c r="F514" s="66">
        <v>44105</v>
      </c>
      <c r="G514" s="66">
        <v>44110</v>
      </c>
      <c r="H514" s="67">
        <v>0.025</v>
      </c>
      <c r="I514" s="60">
        <v>0.0395</v>
      </c>
      <c r="J514" s="113">
        <v>0.010428270745289259</v>
      </c>
      <c r="K514" s="113">
        <v>0.029071729254710743</v>
      </c>
      <c r="L514" s="60">
        <f>+K514-((K514*0.0094*0.125)+(K514*(1-0.0094)*0.26))</f>
        <v>0.021549971672910177</v>
      </c>
      <c r="M514" s="60">
        <f t="shared" si="15"/>
        <v>0.03197824241819944</v>
      </c>
      <c r="N514" s="73" t="s">
        <v>248</v>
      </c>
    </row>
    <row r="515" spans="1:252" ht="23.25" customHeight="1">
      <c r="A515" s="40"/>
      <c r="B515" s="12" t="s">
        <v>163</v>
      </c>
      <c r="C515" s="69" t="s">
        <v>381</v>
      </c>
      <c r="D515" s="12" t="s">
        <v>410</v>
      </c>
      <c r="E515" s="65">
        <v>44104</v>
      </c>
      <c r="F515" s="66">
        <v>44105</v>
      </c>
      <c r="G515" s="66">
        <v>44110</v>
      </c>
      <c r="H515" s="67">
        <v>0.025</v>
      </c>
      <c r="I515" s="60">
        <v>0.0357</v>
      </c>
      <c r="J515" s="113">
        <v>0.016318250231140634</v>
      </c>
      <c r="K515" s="113">
        <v>0.01938174976885937</v>
      </c>
      <c r="L515" s="60">
        <f>+K515-((K515*0.0094*0.125)+(K515*(1-0.0094)*0.26))</f>
        <v>0.014367090269412616</v>
      </c>
      <c r="M515" s="60">
        <f t="shared" si="15"/>
        <v>0.03068534050055325</v>
      </c>
      <c r="N515" s="73" t="s">
        <v>248</v>
      </c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</row>
    <row r="516" spans="1:199" ht="23.25" customHeight="1">
      <c r="A516" s="19" t="s">
        <v>107</v>
      </c>
      <c r="B516" s="12" t="s">
        <v>151</v>
      </c>
      <c r="C516" s="64" t="s">
        <v>383</v>
      </c>
      <c r="D516" s="12" t="s">
        <v>410</v>
      </c>
      <c r="E516" s="65">
        <v>44104</v>
      </c>
      <c r="F516" s="66">
        <v>44105</v>
      </c>
      <c r="G516" s="66">
        <v>44110</v>
      </c>
      <c r="H516" s="67">
        <v>0.023</v>
      </c>
      <c r="I516" s="60">
        <v>0.0288</v>
      </c>
      <c r="J516" s="113">
        <v>0</v>
      </c>
      <c r="K516" s="113">
        <v>0.0288</v>
      </c>
      <c r="L516" s="60">
        <f>+K516-((K516*0.0509*0.125)+(K516*(1-0.0509)*0.26))</f>
        <v>0.021509899199999998</v>
      </c>
      <c r="M516" s="60">
        <f t="shared" si="15"/>
        <v>0.021509899199999998</v>
      </c>
      <c r="N516" s="73" t="s">
        <v>248</v>
      </c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</row>
    <row r="517" spans="1:199" ht="23.25" customHeight="1">
      <c r="A517" s="23" t="s">
        <v>121</v>
      </c>
      <c r="B517" s="12" t="s">
        <v>166</v>
      </c>
      <c r="C517" s="69" t="s">
        <v>384</v>
      </c>
      <c r="D517" s="12" t="s">
        <v>410</v>
      </c>
      <c r="E517" s="65">
        <v>44104</v>
      </c>
      <c r="F517" s="66">
        <v>44105</v>
      </c>
      <c r="G517" s="66">
        <v>44110</v>
      </c>
      <c r="H517" s="67">
        <v>0.023</v>
      </c>
      <c r="I517" s="60">
        <v>0.0288</v>
      </c>
      <c r="J517" s="113">
        <v>0.004200833889617356</v>
      </c>
      <c r="K517" s="113">
        <v>0.024599166110382643</v>
      </c>
      <c r="L517" s="60">
        <f>+K517-((K517*0.0509*0.125)+(K517*(1-0.0509)*0.26))</f>
        <v>0.01837241609161065</v>
      </c>
      <c r="M517" s="60">
        <f t="shared" si="15"/>
        <v>0.022573249981228005</v>
      </c>
      <c r="N517" s="73" t="s">
        <v>248</v>
      </c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</row>
    <row r="518" spans="1:199" ht="23.25" customHeight="1">
      <c r="A518" s="19" t="s">
        <v>108</v>
      </c>
      <c r="B518" s="12" t="s">
        <v>149</v>
      </c>
      <c r="C518" s="64" t="s">
        <v>386</v>
      </c>
      <c r="D518" s="12" t="s">
        <v>410</v>
      </c>
      <c r="E518" s="65">
        <v>44104</v>
      </c>
      <c r="F518" s="66">
        <v>44105</v>
      </c>
      <c r="G518" s="66">
        <v>44110</v>
      </c>
      <c r="H518" s="67">
        <v>0.05</v>
      </c>
      <c r="I518" s="60">
        <v>0.0764</v>
      </c>
      <c r="J518" s="113">
        <v>0.018270401889031812</v>
      </c>
      <c r="K518" s="113">
        <v>0.058129598110968184</v>
      </c>
      <c r="L518" s="60">
        <f>+K518-((K518*0.0921*0.125)+(K518*(1-0.921)*0.26))</f>
        <v>0.05626639916751638</v>
      </c>
      <c r="M518" s="60">
        <f t="shared" si="15"/>
        <v>0.0745368010565482</v>
      </c>
      <c r="N518" s="73" t="s">
        <v>248</v>
      </c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</row>
    <row r="519" spans="1:199" ht="23.25" customHeight="1">
      <c r="A519" s="19" t="s">
        <v>109</v>
      </c>
      <c r="B519" s="12" t="s">
        <v>165</v>
      </c>
      <c r="C519" s="69" t="s">
        <v>387</v>
      </c>
      <c r="D519" s="12" t="s">
        <v>410</v>
      </c>
      <c r="E519" s="65">
        <v>44104</v>
      </c>
      <c r="F519" s="66">
        <v>44105</v>
      </c>
      <c r="G519" s="66">
        <v>44110</v>
      </c>
      <c r="H519" s="67">
        <v>0.05</v>
      </c>
      <c r="I519" s="60">
        <v>0.0722</v>
      </c>
      <c r="J519" s="113">
        <v>0.02345788988522816</v>
      </c>
      <c r="K519" s="113">
        <v>0.04874211011477184</v>
      </c>
      <c r="L519" s="60">
        <f>+K519-((K519*0.0921*0.125)+(K519*(1-0.921)*0.26))</f>
        <v>0.047179803630318116</v>
      </c>
      <c r="M519" s="60">
        <f t="shared" si="15"/>
        <v>0.07063769351554627</v>
      </c>
      <c r="N519" s="73" t="s">
        <v>248</v>
      </c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</row>
    <row r="520" spans="1:199" ht="23.25" customHeight="1">
      <c r="A520" s="19" t="s">
        <v>37</v>
      </c>
      <c r="B520" s="12" t="s">
        <v>153</v>
      </c>
      <c r="C520" s="64" t="s">
        <v>394</v>
      </c>
      <c r="D520" s="12" t="s">
        <v>410</v>
      </c>
      <c r="E520" s="65">
        <v>44104</v>
      </c>
      <c r="F520" s="66">
        <v>44105</v>
      </c>
      <c r="G520" s="66">
        <v>44110</v>
      </c>
      <c r="H520" s="67">
        <v>0.025</v>
      </c>
      <c r="I520" s="60">
        <v>0.0301</v>
      </c>
      <c r="J520" s="113">
        <v>0</v>
      </c>
      <c r="K520" s="113">
        <v>0.0301</v>
      </c>
      <c r="L520" s="60">
        <f>+K520-((K520*0.1243*0.125)+(K520*(1-0.1243)*0.26))</f>
        <v>0.022779093049999997</v>
      </c>
      <c r="M520" s="60">
        <f t="shared" si="15"/>
        <v>0.022779093049999997</v>
      </c>
      <c r="N520" s="73" t="s">
        <v>248</v>
      </c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</row>
    <row r="521" spans="1:199" ht="23.25" customHeight="1">
      <c r="A521" s="19" t="s">
        <v>111</v>
      </c>
      <c r="B521" s="12" t="s">
        <v>152</v>
      </c>
      <c r="C521" s="64" t="s">
        <v>395</v>
      </c>
      <c r="D521" s="12" t="s">
        <v>410</v>
      </c>
      <c r="E521" s="65">
        <v>44104</v>
      </c>
      <c r="F521" s="66">
        <v>44105</v>
      </c>
      <c r="G521" s="66">
        <v>44110</v>
      </c>
      <c r="H521" s="67">
        <v>0.025</v>
      </c>
      <c r="I521" s="60">
        <v>0.0406</v>
      </c>
      <c r="J521" s="113">
        <v>0</v>
      </c>
      <c r="K521" s="113">
        <v>0.0406</v>
      </c>
      <c r="L521" s="60">
        <f>+K521-((K521*0.1243*0.125)+(K521*(1-0.1243)*0.26))</f>
        <v>0.030725288299999997</v>
      </c>
      <c r="M521" s="60">
        <f t="shared" si="15"/>
        <v>0.030725288299999997</v>
      </c>
      <c r="N521" s="73" t="s">
        <v>248</v>
      </c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</row>
    <row r="522" spans="1:199" ht="23.25" customHeight="1">
      <c r="A522" s="19" t="s">
        <v>112</v>
      </c>
      <c r="B522" s="12" t="s">
        <v>167</v>
      </c>
      <c r="C522" s="69" t="s">
        <v>396</v>
      </c>
      <c r="D522" s="12" t="s">
        <v>410</v>
      </c>
      <c r="E522" s="65">
        <v>44104</v>
      </c>
      <c r="F522" s="66">
        <v>44105</v>
      </c>
      <c r="G522" s="66">
        <v>44110</v>
      </c>
      <c r="H522" s="67">
        <v>0.025</v>
      </c>
      <c r="I522" s="60">
        <v>0.0392</v>
      </c>
      <c r="J522" s="113">
        <v>0</v>
      </c>
      <c r="K522" s="113">
        <v>0.0392</v>
      </c>
      <c r="L522" s="60">
        <f>+K522-((K522*0.1243*0.125)+(K522*(1-0.1243)*0.26))</f>
        <v>0.0296657956</v>
      </c>
      <c r="M522" s="60">
        <f t="shared" si="15"/>
        <v>0.0296657956</v>
      </c>
      <c r="N522" s="73" t="s">
        <v>248</v>
      </c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</row>
    <row r="523" spans="1:199" ht="23.25" customHeight="1">
      <c r="A523" s="19" t="s">
        <v>110</v>
      </c>
      <c r="B523" s="12" t="s">
        <v>301</v>
      </c>
      <c r="C523" s="64" t="s">
        <v>407</v>
      </c>
      <c r="D523" s="12" t="s">
        <v>410</v>
      </c>
      <c r="E523" s="65">
        <v>44104</v>
      </c>
      <c r="F523" s="66">
        <v>44105</v>
      </c>
      <c r="G523" s="66">
        <v>44110</v>
      </c>
      <c r="H523" s="67">
        <v>0.025</v>
      </c>
      <c r="I523" s="60">
        <v>0.0309</v>
      </c>
      <c r="J523" s="113">
        <v>0</v>
      </c>
      <c r="K523" s="113">
        <v>0.0309</v>
      </c>
      <c r="L523" s="60">
        <f>+K523-((K523*0.1243*0.125)+(K523*(1-0.1243)*0.26))</f>
        <v>0.02338451745</v>
      </c>
      <c r="M523" s="60">
        <f t="shared" si="15"/>
        <v>0.02338451745</v>
      </c>
      <c r="N523" s="67" t="s">
        <v>248</v>
      </c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</row>
    <row r="524" spans="1:199" ht="23.25" customHeight="1">
      <c r="A524" s="19" t="s">
        <v>113</v>
      </c>
      <c r="B524" s="12" t="s">
        <v>304</v>
      </c>
      <c r="C524" s="64" t="s">
        <v>408</v>
      </c>
      <c r="D524" s="12" t="s">
        <v>410</v>
      </c>
      <c r="E524" s="65">
        <v>44104</v>
      </c>
      <c r="F524" s="66">
        <v>44105</v>
      </c>
      <c r="G524" s="66">
        <v>44110</v>
      </c>
      <c r="H524" s="70">
        <v>0.0225</v>
      </c>
      <c r="I524" s="60">
        <v>0.0278</v>
      </c>
      <c r="J524" s="113">
        <v>0.005153545296049047</v>
      </c>
      <c r="K524" s="113">
        <v>0.02264645470395095</v>
      </c>
      <c r="L524" s="60">
        <f>+K524-((K524*0.1466*0.125)+(K524*(1-0.1466)*0.26))</f>
        <v>0.017206572465969596</v>
      </c>
      <c r="M524" s="60">
        <f t="shared" si="15"/>
        <v>0.02236011776201864</v>
      </c>
      <c r="N524" s="67" t="s">
        <v>248</v>
      </c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</row>
    <row r="525" spans="1:14" ht="23.25" customHeight="1">
      <c r="A525" s="19" t="s">
        <v>114</v>
      </c>
      <c r="B525" s="12" t="s">
        <v>183</v>
      </c>
      <c r="C525" s="69" t="s">
        <v>398</v>
      </c>
      <c r="D525" s="12" t="s">
        <v>410</v>
      </c>
      <c r="E525" s="65">
        <v>44104</v>
      </c>
      <c r="F525" s="66">
        <v>44105</v>
      </c>
      <c r="G525" s="66">
        <v>44110</v>
      </c>
      <c r="H525" s="70">
        <v>0.0225</v>
      </c>
      <c r="I525" s="60">
        <v>0.0279</v>
      </c>
      <c r="J525" s="113">
        <v>0.007069265145286692</v>
      </c>
      <c r="K525" s="113">
        <v>0.02083073485471331</v>
      </c>
      <c r="L525" s="60">
        <f>+K525-((K525*0.1466*0.125)+(K525*(1-0.1466)*0.26))</f>
        <v>0.01582700486599748</v>
      </c>
      <c r="M525" s="60">
        <f t="shared" si="15"/>
        <v>0.02289627001128417</v>
      </c>
      <c r="N525" s="73" t="s">
        <v>248</v>
      </c>
    </row>
    <row r="526" spans="1:14" ht="23.25" customHeight="1">
      <c r="A526" s="19" t="s">
        <v>38</v>
      </c>
      <c r="B526" s="12" t="s">
        <v>313</v>
      </c>
      <c r="C526" s="64" t="s">
        <v>429</v>
      </c>
      <c r="D526" s="12" t="s">
        <v>411</v>
      </c>
      <c r="E526" s="65">
        <v>44104</v>
      </c>
      <c r="F526" s="66">
        <v>44105</v>
      </c>
      <c r="G526" s="66">
        <v>44110</v>
      </c>
      <c r="H526" s="70">
        <v>0.0225</v>
      </c>
      <c r="I526" s="60">
        <v>0.0093</v>
      </c>
      <c r="J526" s="113">
        <v>0</v>
      </c>
      <c r="K526" s="113">
        <v>0.0093</v>
      </c>
      <c r="L526" s="60">
        <f>+K526-((K526*0.1466*0.125)+(K526*(1-0.1466)*0.26))</f>
        <v>0.0070660563</v>
      </c>
      <c r="M526" s="60">
        <f t="shared" si="15"/>
        <v>0.0070660563</v>
      </c>
      <c r="N526" s="67" t="s">
        <v>251</v>
      </c>
    </row>
    <row r="527" spans="1:14" ht="23.25" customHeight="1">
      <c r="A527" s="19" t="s">
        <v>120</v>
      </c>
      <c r="B527" s="12" t="s">
        <v>305</v>
      </c>
      <c r="C527" s="64" t="s">
        <v>409</v>
      </c>
      <c r="D527" s="12" t="s">
        <v>410</v>
      </c>
      <c r="E527" s="65">
        <v>44104</v>
      </c>
      <c r="F527" s="66">
        <v>44105</v>
      </c>
      <c r="G527" s="66">
        <v>44110</v>
      </c>
      <c r="H527" s="70">
        <v>0.0225</v>
      </c>
      <c r="I527" s="60">
        <v>0.028</v>
      </c>
      <c r="J527" s="113">
        <v>0.0014135818691125347</v>
      </c>
      <c r="K527" s="113">
        <v>0.026586418130887465</v>
      </c>
      <c r="L527" s="60">
        <f>+K527-((K527*0.1466*0.125)+(K527*(1-0.1466)*0.26))</f>
        <v>0.020200121218085117</v>
      </c>
      <c r="M527" s="60">
        <f t="shared" si="15"/>
        <v>0.021613703087197653</v>
      </c>
      <c r="N527" s="67" t="s">
        <v>248</v>
      </c>
    </row>
    <row r="528" spans="1:199" ht="23.25" customHeight="1">
      <c r="A528" s="40"/>
      <c r="B528" s="12" t="s">
        <v>147</v>
      </c>
      <c r="C528" s="64" t="s">
        <v>468</v>
      </c>
      <c r="D528" s="12" t="s">
        <v>410</v>
      </c>
      <c r="E528" s="65">
        <v>44104</v>
      </c>
      <c r="F528" s="66">
        <v>44105</v>
      </c>
      <c r="G528" s="66">
        <v>44110</v>
      </c>
      <c r="H528" s="67">
        <v>0.023</v>
      </c>
      <c r="I528" s="60">
        <v>0.0313</v>
      </c>
      <c r="J528" s="113">
        <v>0</v>
      </c>
      <c r="K528" s="113">
        <v>0.0313</v>
      </c>
      <c r="L528" s="60">
        <f>+K528-((K528*0.127*0.125)+(K528*(1-0.127)*0.26))</f>
        <v>0.0236986385</v>
      </c>
      <c r="M528" s="60">
        <f t="shared" si="15"/>
        <v>0.0236986385</v>
      </c>
      <c r="N528" s="73" t="s">
        <v>248</v>
      </c>
      <c r="GP528" s="10"/>
      <c r="GQ528" s="10"/>
    </row>
    <row r="529" spans="1:14" ht="23.25" customHeight="1">
      <c r="A529" s="23" t="s">
        <v>58</v>
      </c>
      <c r="B529" s="12" t="s">
        <v>164</v>
      </c>
      <c r="C529" s="69" t="s">
        <v>469</v>
      </c>
      <c r="D529" s="12" t="s">
        <v>410</v>
      </c>
      <c r="E529" s="65">
        <v>44104</v>
      </c>
      <c r="F529" s="66">
        <v>44105</v>
      </c>
      <c r="G529" s="66">
        <v>44110</v>
      </c>
      <c r="H529" s="67">
        <v>0.023</v>
      </c>
      <c r="I529" s="60">
        <v>0.0295</v>
      </c>
      <c r="J529" s="113">
        <v>0</v>
      </c>
      <c r="K529" s="113">
        <v>0.0295</v>
      </c>
      <c r="L529" s="60">
        <f>+K529-((K529*0.127*0.125)+(K529*(1-0.127)*0.26))</f>
        <v>0.022335777499999997</v>
      </c>
      <c r="M529" s="60">
        <f t="shared" si="15"/>
        <v>0.022335777499999997</v>
      </c>
      <c r="N529" s="73" t="s">
        <v>248</v>
      </c>
    </row>
    <row r="530" spans="1:14" s="30" customFormat="1" ht="23.25" customHeight="1">
      <c r="A530" s="40" t="s">
        <v>229</v>
      </c>
      <c r="B530" s="12" t="s">
        <v>132</v>
      </c>
      <c r="C530" s="64" t="s">
        <v>358</v>
      </c>
      <c r="D530" s="12" t="s">
        <v>410</v>
      </c>
      <c r="E530" s="65">
        <v>44130</v>
      </c>
      <c r="F530" s="66">
        <v>44131</v>
      </c>
      <c r="G530" s="66">
        <v>44134</v>
      </c>
      <c r="H530" s="67">
        <v>0.03</v>
      </c>
      <c r="I530" s="60">
        <v>0.0354</v>
      </c>
      <c r="J530" s="113">
        <v>0</v>
      </c>
      <c r="K530" s="113">
        <v>0.0354</v>
      </c>
      <c r="L530" s="60">
        <f>+K530-((K530*0.2612*0.125)+(K530*(1-0.2612)*0.26))</f>
        <v>0.0274442748</v>
      </c>
      <c r="M530" s="60">
        <f t="shared" si="15"/>
        <v>0.0274442748</v>
      </c>
      <c r="N530" s="67" t="s">
        <v>249</v>
      </c>
    </row>
    <row r="531" spans="1:14" s="30" customFormat="1" ht="23.25" customHeight="1">
      <c r="A531" s="40" t="s">
        <v>231</v>
      </c>
      <c r="B531" s="12" t="s">
        <v>227</v>
      </c>
      <c r="C531" s="74" t="s">
        <v>359</v>
      </c>
      <c r="D531" s="12" t="s">
        <v>410</v>
      </c>
      <c r="E531" s="107">
        <v>44130</v>
      </c>
      <c r="F531" s="107">
        <v>44131</v>
      </c>
      <c r="G531" s="107">
        <v>44134</v>
      </c>
      <c r="H531" s="67">
        <v>0.03</v>
      </c>
      <c r="I531" s="60">
        <v>0.0352</v>
      </c>
      <c r="J531" s="113">
        <v>0</v>
      </c>
      <c r="K531" s="113">
        <v>0.0352</v>
      </c>
      <c r="L531" s="60">
        <f>+K531-((K531*0.2612*0.125)+(K531*(1-0.2612)*0.26))</f>
        <v>0.0272892224</v>
      </c>
      <c r="M531" s="60">
        <f t="shared" si="15"/>
        <v>0.0272892224</v>
      </c>
      <c r="N531" s="67" t="s">
        <v>249</v>
      </c>
    </row>
    <row r="532" spans="1:14" s="30" customFormat="1" ht="23.25" customHeight="1">
      <c r="A532" s="40" t="s">
        <v>184</v>
      </c>
      <c r="B532" s="12" t="s">
        <v>133</v>
      </c>
      <c r="C532" s="64" t="s">
        <v>476</v>
      </c>
      <c r="D532" s="12" t="s">
        <v>410</v>
      </c>
      <c r="E532" s="65">
        <v>44130</v>
      </c>
      <c r="F532" s="66">
        <v>44131</v>
      </c>
      <c r="G532" s="66">
        <v>44134</v>
      </c>
      <c r="H532" s="67">
        <v>0.04</v>
      </c>
      <c r="I532" s="60">
        <v>0.0431</v>
      </c>
      <c r="J532" s="113">
        <v>0</v>
      </c>
      <c r="K532" s="113">
        <v>0.0431</v>
      </c>
      <c r="L532" s="60">
        <f>+K532-((K532*0.0000001*0.125)+(K532*(1-0.0000001)*0.26))</f>
        <v>0.03189400058185</v>
      </c>
      <c r="M532" s="60">
        <f t="shared" si="15"/>
        <v>0.03189400058185</v>
      </c>
      <c r="N532" s="67" t="s">
        <v>249</v>
      </c>
    </row>
    <row r="533" spans="1:14" s="30" customFormat="1" ht="23.25" customHeight="1">
      <c r="A533" s="40" t="s">
        <v>192</v>
      </c>
      <c r="B533" s="12" t="s">
        <v>134</v>
      </c>
      <c r="C533" s="64" t="s">
        <v>374</v>
      </c>
      <c r="D533" s="12" t="s">
        <v>410</v>
      </c>
      <c r="E533" s="65">
        <v>44130</v>
      </c>
      <c r="F533" s="66">
        <v>44131</v>
      </c>
      <c r="G533" s="66">
        <v>44134</v>
      </c>
      <c r="H533" s="67">
        <v>0.0425</v>
      </c>
      <c r="I533" s="60">
        <v>0.0546</v>
      </c>
      <c r="J533" s="113">
        <v>0</v>
      </c>
      <c r="K533" s="113">
        <v>0.0546</v>
      </c>
      <c r="L533" s="60">
        <f>+K533-((K533*0.2536*0.125)+(K533*(1-0.2536)*0.26))</f>
        <v>0.0422732856</v>
      </c>
      <c r="M533" s="60">
        <f t="shared" si="15"/>
        <v>0.0422732856</v>
      </c>
      <c r="N533" s="67" t="s">
        <v>249</v>
      </c>
    </row>
    <row r="534" spans="1:14" s="30" customFormat="1" ht="23.25" customHeight="1">
      <c r="A534" s="40"/>
      <c r="B534" s="12" t="s">
        <v>168</v>
      </c>
      <c r="C534" s="74" t="s">
        <v>376</v>
      </c>
      <c r="D534" s="12" t="s">
        <v>410</v>
      </c>
      <c r="E534" s="107">
        <v>44130</v>
      </c>
      <c r="F534" s="107">
        <v>44131</v>
      </c>
      <c r="G534" s="107">
        <v>44134</v>
      </c>
      <c r="H534" s="67">
        <v>0.0425</v>
      </c>
      <c r="I534" s="60">
        <v>0.0473</v>
      </c>
      <c r="J534" s="113">
        <v>0</v>
      </c>
      <c r="K534" s="113">
        <v>0.0473</v>
      </c>
      <c r="L534" s="60">
        <f>+K534-((K534*0.2536*0.125)+(K534*(1-0.2536)*0.26))</f>
        <v>0.0366213628</v>
      </c>
      <c r="M534" s="60">
        <f t="shared" si="15"/>
        <v>0.0366213628</v>
      </c>
      <c r="N534" s="73" t="s">
        <v>249</v>
      </c>
    </row>
    <row r="535" spans="1:14" s="30" customFormat="1" ht="23.25" customHeight="1">
      <c r="A535" s="40" t="s">
        <v>189</v>
      </c>
      <c r="B535" s="12" t="s">
        <v>136</v>
      </c>
      <c r="C535" s="64" t="s">
        <v>388</v>
      </c>
      <c r="D535" s="12" t="s">
        <v>410</v>
      </c>
      <c r="E535" s="65">
        <v>44130</v>
      </c>
      <c r="F535" s="66">
        <v>44131</v>
      </c>
      <c r="G535" s="66">
        <v>44134</v>
      </c>
      <c r="H535" s="67">
        <v>0.02</v>
      </c>
      <c r="I535" s="60">
        <v>0.0239</v>
      </c>
      <c r="J535" s="113">
        <v>0</v>
      </c>
      <c r="K535" s="113">
        <v>0.0239</v>
      </c>
      <c r="L535" s="60">
        <f aca="true" t="shared" si="16" ref="L535:L540">+K535-((K535*0.078*0.125)+(K535*(1-0.078)*0.26))</f>
        <v>0.017937667</v>
      </c>
      <c r="M535" s="60">
        <f t="shared" si="15"/>
        <v>0.017937667</v>
      </c>
      <c r="N535" s="67" t="s">
        <v>249</v>
      </c>
    </row>
    <row r="536" spans="1:14" s="30" customFormat="1" ht="23.25" customHeight="1">
      <c r="A536" s="40" t="s">
        <v>197</v>
      </c>
      <c r="B536" s="12" t="s">
        <v>137</v>
      </c>
      <c r="C536" s="64" t="s">
        <v>389</v>
      </c>
      <c r="D536" s="12" t="s">
        <v>410</v>
      </c>
      <c r="E536" s="65">
        <v>44130</v>
      </c>
      <c r="F536" s="66">
        <v>44131</v>
      </c>
      <c r="G536" s="66">
        <v>44134</v>
      </c>
      <c r="H536" s="67">
        <v>0.035</v>
      </c>
      <c r="I536" s="60">
        <v>0.0441</v>
      </c>
      <c r="J536" s="113">
        <v>0</v>
      </c>
      <c r="K536" s="113">
        <v>0.0441</v>
      </c>
      <c r="L536" s="60">
        <f t="shared" si="16"/>
        <v>0.033098373</v>
      </c>
      <c r="M536" s="60">
        <f t="shared" si="15"/>
        <v>0.033098373</v>
      </c>
      <c r="N536" s="67" t="s">
        <v>249</v>
      </c>
    </row>
    <row r="537" spans="1:14" s="30" customFormat="1" ht="23.25" customHeight="1">
      <c r="A537" s="40"/>
      <c r="B537" s="12" t="s">
        <v>135</v>
      </c>
      <c r="C537" s="64" t="s">
        <v>390</v>
      </c>
      <c r="D537" s="12" t="s">
        <v>410</v>
      </c>
      <c r="E537" s="65">
        <v>44130</v>
      </c>
      <c r="F537" s="66">
        <v>44131</v>
      </c>
      <c r="G537" s="66">
        <v>44134</v>
      </c>
      <c r="H537" s="67">
        <v>0.045</v>
      </c>
      <c r="I537" s="60">
        <v>0.057</v>
      </c>
      <c r="J537" s="113">
        <v>0</v>
      </c>
      <c r="K537" s="113">
        <v>0.057</v>
      </c>
      <c r="L537" s="60">
        <f t="shared" si="16"/>
        <v>0.04278021</v>
      </c>
      <c r="M537" s="60">
        <f t="shared" si="15"/>
        <v>0.04278021</v>
      </c>
      <c r="N537" s="67" t="s">
        <v>249</v>
      </c>
    </row>
    <row r="538" spans="1:14" s="30" customFormat="1" ht="23.25" customHeight="1">
      <c r="A538" s="40" t="s">
        <v>186</v>
      </c>
      <c r="B538" s="12" t="s">
        <v>170</v>
      </c>
      <c r="C538" s="74" t="s">
        <v>391</v>
      </c>
      <c r="D538" s="12" t="s">
        <v>410</v>
      </c>
      <c r="E538" s="107">
        <v>44130</v>
      </c>
      <c r="F538" s="107">
        <v>44131</v>
      </c>
      <c r="G538" s="107">
        <v>44134</v>
      </c>
      <c r="H538" s="67">
        <v>0.02</v>
      </c>
      <c r="I538" s="60">
        <v>0.0238</v>
      </c>
      <c r="J538" s="113">
        <v>0</v>
      </c>
      <c r="K538" s="113">
        <v>0.0238</v>
      </c>
      <c r="L538" s="60">
        <f t="shared" si="16"/>
        <v>0.017862614</v>
      </c>
      <c r="M538" s="60">
        <f t="shared" si="15"/>
        <v>0.017862614</v>
      </c>
      <c r="N538" s="73" t="s">
        <v>249</v>
      </c>
    </row>
    <row r="539" spans="1:199" s="129" customFormat="1" ht="23.25" customHeight="1">
      <c r="A539" s="40" t="s">
        <v>194</v>
      </c>
      <c r="B539" s="12" t="s">
        <v>171</v>
      </c>
      <c r="C539" s="74" t="s">
        <v>392</v>
      </c>
      <c r="D539" s="12" t="s">
        <v>410</v>
      </c>
      <c r="E539" s="107">
        <v>44130</v>
      </c>
      <c r="F539" s="107">
        <v>44131</v>
      </c>
      <c r="G539" s="107">
        <v>44134</v>
      </c>
      <c r="H539" s="67">
        <v>0.035</v>
      </c>
      <c r="I539" s="60">
        <v>0.0437</v>
      </c>
      <c r="J539" s="113">
        <v>0</v>
      </c>
      <c r="K539" s="113">
        <v>0.0437</v>
      </c>
      <c r="L539" s="60">
        <f t="shared" si="16"/>
        <v>0.032798161</v>
      </c>
      <c r="M539" s="60">
        <f t="shared" si="15"/>
        <v>0.032798161</v>
      </c>
      <c r="N539" s="73" t="s">
        <v>249</v>
      </c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</row>
    <row r="540" spans="1:199" s="129" customFormat="1" ht="23.25" customHeight="1">
      <c r="A540" s="40"/>
      <c r="B540" s="12" t="s">
        <v>172</v>
      </c>
      <c r="C540" s="74" t="s">
        <v>393</v>
      </c>
      <c r="D540" s="12" t="s">
        <v>410</v>
      </c>
      <c r="E540" s="107">
        <v>44130</v>
      </c>
      <c r="F540" s="107">
        <v>44131</v>
      </c>
      <c r="G540" s="107">
        <v>44134</v>
      </c>
      <c r="H540" s="67">
        <v>0.045</v>
      </c>
      <c r="I540" s="60">
        <v>0.0566</v>
      </c>
      <c r="J540" s="113">
        <v>0</v>
      </c>
      <c r="K540" s="113">
        <v>0.0566</v>
      </c>
      <c r="L540" s="60">
        <f t="shared" si="16"/>
        <v>0.042479998</v>
      </c>
      <c r="M540" s="60">
        <f t="shared" si="15"/>
        <v>0.042479998</v>
      </c>
      <c r="N540" s="73" t="s">
        <v>249</v>
      </c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</row>
    <row r="541" spans="1:199" s="129" customFormat="1" ht="23.25" customHeight="1">
      <c r="A541" s="40" t="s">
        <v>185</v>
      </c>
      <c r="B541" s="12" t="s">
        <v>169</v>
      </c>
      <c r="C541" s="74" t="s">
        <v>400</v>
      </c>
      <c r="D541" s="12" t="s">
        <v>410</v>
      </c>
      <c r="E541" s="107">
        <v>44130</v>
      </c>
      <c r="F541" s="107">
        <v>44131</v>
      </c>
      <c r="G541" s="107">
        <v>44134</v>
      </c>
      <c r="H541" s="67">
        <v>0.055</v>
      </c>
      <c r="I541" s="60">
        <v>0.0617</v>
      </c>
      <c r="J541" s="113">
        <v>0</v>
      </c>
      <c r="K541" s="113">
        <v>0.0617</v>
      </c>
      <c r="L541" s="60">
        <f>+K541-((K541*0.1813*0.125)+(K541*(1-0.1813)*0.26))</f>
        <v>0.04716813835</v>
      </c>
      <c r="M541" s="60">
        <f aca="true" t="shared" si="17" ref="M541:M572">J541+L541</f>
        <v>0.04716813835</v>
      </c>
      <c r="N541" s="73" t="s">
        <v>249</v>
      </c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</row>
    <row r="542" spans="1:14" s="30" customFormat="1" ht="23.25" customHeight="1">
      <c r="A542" s="40" t="s">
        <v>194</v>
      </c>
      <c r="B542" s="12" t="s">
        <v>514</v>
      </c>
      <c r="C542" s="64" t="s">
        <v>515</v>
      </c>
      <c r="D542" s="12" t="s">
        <v>411</v>
      </c>
      <c r="E542" s="65">
        <v>44134</v>
      </c>
      <c r="F542" s="66">
        <v>44137</v>
      </c>
      <c r="G542" s="66">
        <v>44140</v>
      </c>
      <c r="H542" s="67">
        <v>0.03</v>
      </c>
      <c r="I542" s="113">
        <v>0.1916</v>
      </c>
      <c r="J542" s="113">
        <v>0</v>
      </c>
      <c r="K542" s="113">
        <v>0.1916</v>
      </c>
      <c r="L542" s="60">
        <f>+K542-((K542*0.9057*0.125)+(K542*(1-0.9057)*0.26))</f>
        <v>0.1652108362</v>
      </c>
      <c r="M542" s="60">
        <f t="shared" si="17"/>
        <v>0.1652108362</v>
      </c>
      <c r="N542" s="67" t="s">
        <v>251</v>
      </c>
    </row>
    <row r="543" spans="1:252" s="129" customFormat="1" ht="23.25" customHeight="1">
      <c r="A543" s="40" t="s">
        <v>187</v>
      </c>
      <c r="B543" s="12" t="s">
        <v>310</v>
      </c>
      <c r="C543" s="64" t="s">
        <v>424</v>
      </c>
      <c r="D543" s="12" t="s">
        <v>411</v>
      </c>
      <c r="E543" s="65">
        <v>44134</v>
      </c>
      <c r="F543" s="66">
        <v>44137</v>
      </c>
      <c r="G543" s="66">
        <v>44140</v>
      </c>
      <c r="H543" s="70">
        <v>0.05</v>
      </c>
      <c r="I543" s="60">
        <v>0.0209</v>
      </c>
      <c r="J543" s="113">
        <v>0</v>
      </c>
      <c r="K543" s="113">
        <v>0.0209</v>
      </c>
      <c r="L543" s="60">
        <f>+K543-((K543*0.03783*0.125)+(K543*(1-0.089)*0.26))</f>
        <v>0.015850795124999997</v>
      </c>
      <c r="M543" s="60">
        <f t="shared" si="17"/>
        <v>0.015850795124999997</v>
      </c>
      <c r="N543" s="67" t="s">
        <v>251</v>
      </c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94"/>
    </row>
    <row r="544" spans="1:252" s="30" customFormat="1" ht="23.25" customHeight="1">
      <c r="A544" s="40" t="s">
        <v>193</v>
      </c>
      <c r="B544" s="12" t="s">
        <v>188</v>
      </c>
      <c r="C544" s="69" t="s">
        <v>339</v>
      </c>
      <c r="D544" s="12" t="s">
        <v>411</v>
      </c>
      <c r="E544" s="65">
        <v>44134</v>
      </c>
      <c r="F544" s="66">
        <v>44137</v>
      </c>
      <c r="G544" s="66">
        <v>44140</v>
      </c>
      <c r="H544" s="70">
        <v>0.05</v>
      </c>
      <c r="I544" s="60">
        <v>0.3655</v>
      </c>
      <c r="J544" s="113">
        <v>0</v>
      </c>
      <c r="K544" s="113">
        <v>0.3655</v>
      </c>
      <c r="L544" s="60">
        <f>+K544-((K544*0.03783*0.125)+(K544*(1-0.089)*0.26))</f>
        <v>0.277199311875</v>
      </c>
      <c r="M544" s="60">
        <f t="shared" si="17"/>
        <v>0.277199311875</v>
      </c>
      <c r="N544" s="67" t="s">
        <v>251</v>
      </c>
      <c r="IR544" s="94"/>
    </row>
    <row r="545" spans="1:252" s="30" customFormat="1" ht="23.25" customHeight="1">
      <c r="A545" s="40"/>
      <c r="B545" s="12" t="s">
        <v>196</v>
      </c>
      <c r="C545" s="74" t="s">
        <v>340</v>
      </c>
      <c r="D545" s="73" t="s">
        <v>411</v>
      </c>
      <c r="E545" s="65">
        <v>44134</v>
      </c>
      <c r="F545" s="66">
        <v>44137</v>
      </c>
      <c r="G545" s="66">
        <v>44140</v>
      </c>
      <c r="H545" s="70">
        <v>0.05</v>
      </c>
      <c r="I545" s="60">
        <v>0.3778</v>
      </c>
      <c r="J545" s="113">
        <v>0</v>
      </c>
      <c r="K545" s="113">
        <v>0.3778</v>
      </c>
      <c r="L545" s="60">
        <f>+K545-((K545*0.03783*0.125)+(K545*(1-0.089)*0.26))</f>
        <v>0.28652777025</v>
      </c>
      <c r="M545" s="60">
        <f t="shared" si="17"/>
        <v>0.28652777025</v>
      </c>
      <c r="N545" s="67" t="s">
        <v>251</v>
      </c>
      <c r="GR545" s="129"/>
      <c r="GS545" s="129"/>
      <c r="GT545" s="129"/>
      <c r="GU545" s="129"/>
      <c r="GV545" s="129"/>
      <c r="GW545" s="129"/>
      <c r="GX545" s="129"/>
      <c r="GY545" s="129"/>
      <c r="GZ545" s="129"/>
      <c r="HA545" s="129"/>
      <c r="HB545" s="129"/>
      <c r="HC545" s="129"/>
      <c r="HD545" s="129"/>
      <c r="HE545" s="129"/>
      <c r="HF545" s="129"/>
      <c r="HG545" s="129"/>
      <c r="HH545" s="129"/>
      <c r="HI545" s="129"/>
      <c r="HJ545" s="129"/>
      <c r="HK545" s="129"/>
      <c r="HL545" s="129"/>
      <c r="HM545" s="129"/>
      <c r="HN545" s="129"/>
      <c r="HO545" s="129"/>
      <c r="HP545" s="129"/>
      <c r="HQ545" s="129"/>
      <c r="HR545" s="129"/>
      <c r="HS545" s="129"/>
      <c r="HT545" s="129"/>
      <c r="HU545" s="129"/>
      <c r="HV545" s="129"/>
      <c r="HW545" s="129"/>
      <c r="HX545" s="129"/>
      <c r="HY545" s="129"/>
      <c r="HZ545" s="129"/>
      <c r="IA545" s="129"/>
      <c r="IB545" s="129"/>
      <c r="IC545" s="129"/>
      <c r="ID545" s="129"/>
      <c r="IE545" s="129"/>
      <c r="IF545" s="129"/>
      <c r="IG545" s="129"/>
      <c r="IH545" s="129"/>
      <c r="II545" s="129"/>
      <c r="IJ545" s="129"/>
      <c r="IK545" s="129"/>
      <c r="IL545" s="129"/>
      <c r="IM545" s="129"/>
      <c r="IN545" s="129"/>
      <c r="IO545" s="129"/>
      <c r="IP545" s="129"/>
      <c r="IQ545" s="129"/>
      <c r="IR545" s="244"/>
    </row>
    <row r="546" spans="1:14" s="30" customFormat="1" ht="23.25" customHeight="1">
      <c r="A546" s="40" t="s">
        <v>195</v>
      </c>
      <c r="B546" s="12" t="s">
        <v>191</v>
      </c>
      <c r="C546" s="69" t="s">
        <v>346</v>
      </c>
      <c r="D546" s="12" t="s">
        <v>411</v>
      </c>
      <c r="E546" s="65">
        <v>44134</v>
      </c>
      <c r="F546" s="66">
        <v>44137</v>
      </c>
      <c r="G546" s="66">
        <v>44140</v>
      </c>
      <c r="H546" s="67">
        <v>0.035</v>
      </c>
      <c r="I546" s="60">
        <v>0.0147</v>
      </c>
      <c r="J546" s="113">
        <v>0</v>
      </c>
      <c r="K546" s="113">
        <v>0.0147</v>
      </c>
      <c r="L546" s="60">
        <f>+K546-((K546*0.7742*0.125)+(K546*(1-0.7742)*0.26))</f>
        <v>0.0124143999</v>
      </c>
      <c r="M546" s="60">
        <f t="shared" si="17"/>
        <v>0.0124143999</v>
      </c>
      <c r="N546" s="67" t="s">
        <v>251</v>
      </c>
    </row>
    <row r="547" spans="1:14" s="30" customFormat="1" ht="23.25" customHeight="1">
      <c r="A547" s="40"/>
      <c r="B547" s="12" t="s">
        <v>199</v>
      </c>
      <c r="C547" s="74" t="s">
        <v>347</v>
      </c>
      <c r="D547" s="73" t="s">
        <v>411</v>
      </c>
      <c r="E547" s="65">
        <v>44134</v>
      </c>
      <c r="F547" s="66">
        <v>44137</v>
      </c>
      <c r="G547" s="66">
        <v>44140</v>
      </c>
      <c r="H547" s="67">
        <v>0.035</v>
      </c>
      <c r="I547" s="60">
        <v>0.0147</v>
      </c>
      <c r="J547" s="113">
        <v>0</v>
      </c>
      <c r="K547" s="113">
        <v>0.0147</v>
      </c>
      <c r="L547" s="60">
        <f>+K547-((K547*0.7742*0.125)+(K547*(1-0.7742)*0.26))</f>
        <v>0.0124143999</v>
      </c>
      <c r="M547" s="60">
        <f t="shared" si="17"/>
        <v>0.0124143999</v>
      </c>
      <c r="N547" s="67" t="s">
        <v>251</v>
      </c>
    </row>
    <row r="548" spans="1:14" s="30" customFormat="1" ht="23.25" customHeight="1">
      <c r="A548" s="40"/>
      <c r="B548" s="12" t="s">
        <v>306</v>
      </c>
      <c r="C548" s="64" t="s">
        <v>430</v>
      </c>
      <c r="D548" s="12" t="s">
        <v>411</v>
      </c>
      <c r="E548" s="65">
        <v>44134</v>
      </c>
      <c r="F548" s="66">
        <v>44137</v>
      </c>
      <c r="G548" s="66">
        <v>44140</v>
      </c>
      <c r="H548" s="67">
        <v>0.02</v>
      </c>
      <c r="I548" s="60">
        <v>0.0084</v>
      </c>
      <c r="J548" s="113">
        <v>0</v>
      </c>
      <c r="K548" s="113">
        <v>0.0084</v>
      </c>
      <c r="L548" s="60">
        <f aca="true" t="shared" si="18" ref="L548:L553">+K548-((K548*0.0000001*0.125)+(K548*(1-0.0000001)*0.26))</f>
        <v>0.0062160001134</v>
      </c>
      <c r="M548" s="60">
        <f t="shared" si="17"/>
        <v>0.0062160001134</v>
      </c>
      <c r="N548" s="67" t="s">
        <v>251</v>
      </c>
    </row>
    <row r="549" spans="1:14" s="30" customFormat="1" ht="23.25" customHeight="1">
      <c r="A549" s="40" t="s">
        <v>190</v>
      </c>
      <c r="B549" s="12" t="s">
        <v>184</v>
      </c>
      <c r="C549" s="69" t="s">
        <v>354</v>
      </c>
      <c r="D549" s="12" t="s">
        <v>411</v>
      </c>
      <c r="E549" s="65">
        <v>44134</v>
      </c>
      <c r="F549" s="66">
        <v>44137</v>
      </c>
      <c r="G549" s="66">
        <v>44140</v>
      </c>
      <c r="H549" s="67">
        <v>0.02</v>
      </c>
      <c r="I549" s="60">
        <v>0.1688</v>
      </c>
      <c r="J549" s="113">
        <v>0</v>
      </c>
      <c r="K549" s="113">
        <v>0.1688</v>
      </c>
      <c r="L549" s="60">
        <f t="shared" si="18"/>
        <v>0.1249120022788</v>
      </c>
      <c r="M549" s="60">
        <f t="shared" si="17"/>
        <v>0.1249120022788</v>
      </c>
      <c r="N549" s="67" t="s">
        <v>251</v>
      </c>
    </row>
    <row r="550" spans="1:199" s="30" customFormat="1" ht="23.25" customHeight="1">
      <c r="A550" s="40" t="s">
        <v>198</v>
      </c>
      <c r="B550" s="12" t="s">
        <v>192</v>
      </c>
      <c r="C550" s="74" t="s">
        <v>355</v>
      </c>
      <c r="D550" s="73" t="s">
        <v>411</v>
      </c>
      <c r="E550" s="65">
        <v>44134</v>
      </c>
      <c r="F550" s="66">
        <v>44137</v>
      </c>
      <c r="G550" s="66">
        <v>44140</v>
      </c>
      <c r="H550" s="67">
        <v>0.02</v>
      </c>
      <c r="I550" s="60">
        <v>0.1698</v>
      </c>
      <c r="J550" s="113">
        <v>0</v>
      </c>
      <c r="K550" s="113">
        <v>0.1698</v>
      </c>
      <c r="L550" s="60">
        <f t="shared" si="18"/>
        <v>0.1256520022923</v>
      </c>
      <c r="M550" s="60">
        <f t="shared" si="17"/>
        <v>0.1256520022923</v>
      </c>
      <c r="N550" s="67" t="s">
        <v>251</v>
      </c>
      <c r="GP550" s="94"/>
      <c r="GQ550" s="94"/>
    </row>
    <row r="551" spans="1:14" s="29" customFormat="1" ht="23.25" customHeight="1">
      <c r="A551" s="12"/>
      <c r="B551" s="12" t="s">
        <v>311</v>
      </c>
      <c r="C551" s="64" t="s">
        <v>425</v>
      </c>
      <c r="D551" s="12" t="s">
        <v>411</v>
      </c>
      <c r="E551" s="65">
        <v>44134</v>
      </c>
      <c r="F551" s="66">
        <v>44137</v>
      </c>
      <c r="G551" s="66">
        <v>44140</v>
      </c>
      <c r="H551" s="67">
        <v>0.01</v>
      </c>
      <c r="I551" s="60">
        <v>0.0042</v>
      </c>
      <c r="J551" s="113">
        <v>0</v>
      </c>
      <c r="K551" s="113">
        <v>0.0042</v>
      </c>
      <c r="L551" s="60">
        <f t="shared" si="18"/>
        <v>0.0031080000567</v>
      </c>
      <c r="M551" s="60">
        <f t="shared" si="17"/>
        <v>0.0031080000567</v>
      </c>
      <c r="N551" s="67" t="s">
        <v>251</v>
      </c>
    </row>
    <row r="552" spans="1:252" s="29" customFormat="1" ht="23.25" customHeight="1">
      <c r="A552" s="12"/>
      <c r="B552" s="12" t="s">
        <v>189</v>
      </c>
      <c r="C552" s="69" t="s">
        <v>356</v>
      </c>
      <c r="D552" s="12" t="s">
        <v>411</v>
      </c>
      <c r="E552" s="65">
        <v>44134</v>
      </c>
      <c r="F552" s="66">
        <v>44137</v>
      </c>
      <c r="G552" s="66">
        <v>44140</v>
      </c>
      <c r="H552" s="67">
        <v>0.01</v>
      </c>
      <c r="I552" s="60">
        <v>0.0763</v>
      </c>
      <c r="J552" s="113">
        <v>0</v>
      </c>
      <c r="K552" s="113">
        <v>0.0763</v>
      </c>
      <c r="L552" s="60">
        <f t="shared" si="18"/>
        <v>0.05646200103005</v>
      </c>
      <c r="M552" s="60">
        <f t="shared" si="17"/>
        <v>0.05646200103005</v>
      </c>
      <c r="N552" s="67" t="s">
        <v>251</v>
      </c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94"/>
      <c r="GQ552" s="94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  <c r="IB552" s="30"/>
      <c r="IC552" s="30"/>
      <c r="ID552" s="30"/>
      <c r="IE552" s="30"/>
      <c r="IF552" s="30"/>
      <c r="IG552" s="30"/>
      <c r="IH552" s="30"/>
      <c r="II552" s="30"/>
      <c r="IJ552" s="30"/>
      <c r="IK552" s="30"/>
      <c r="IL552" s="30"/>
      <c r="IM552" s="30"/>
      <c r="IN552" s="30"/>
      <c r="IO552" s="30"/>
      <c r="IP552" s="30"/>
      <c r="IQ552" s="30"/>
      <c r="IR552" s="30"/>
    </row>
    <row r="553" spans="1:14" s="29" customFormat="1" ht="23.25" customHeight="1">
      <c r="A553" s="12"/>
      <c r="B553" s="12" t="s">
        <v>197</v>
      </c>
      <c r="C553" s="74" t="s">
        <v>357</v>
      </c>
      <c r="D553" s="73" t="s">
        <v>411</v>
      </c>
      <c r="E553" s="65">
        <v>44134</v>
      </c>
      <c r="F553" s="66">
        <v>44137</v>
      </c>
      <c r="G553" s="66">
        <v>44140</v>
      </c>
      <c r="H553" s="67">
        <v>0.01</v>
      </c>
      <c r="I553" s="60">
        <v>0.0774</v>
      </c>
      <c r="J553" s="113">
        <v>0</v>
      </c>
      <c r="K553" s="113">
        <v>0.0774</v>
      </c>
      <c r="L553" s="60">
        <f t="shared" si="18"/>
        <v>0.05727600104489999</v>
      </c>
      <c r="M553" s="60">
        <f t="shared" si="17"/>
        <v>0.05727600104489999</v>
      </c>
      <c r="N553" s="67" t="s">
        <v>251</v>
      </c>
    </row>
    <row r="554" spans="1:14" s="30" customFormat="1" ht="23.25" customHeight="1">
      <c r="A554" s="12" t="s">
        <v>196</v>
      </c>
      <c r="B554" s="12" t="s">
        <v>308</v>
      </c>
      <c r="C554" s="64" t="s">
        <v>426</v>
      </c>
      <c r="D554" s="12" t="s">
        <v>411</v>
      </c>
      <c r="E554" s="65">
        <v>44134</v>
      </c>
      <c r="F554" s="66">
        <v>44137</v>
      </c>
      <c r="G554" s="66">
        <v>44140</v>
      </c>
      <c r="H554" s="67">
        <v>0.015</v>
      </c>
      <c r="I554" s="60">
        <v>0.0062</v>
      </c>
      <c r="J554" s="113">
        <v>0</v>
      </c>
      <c r="K554" s="113">
        <v>0.0062</v>
      </c>
      <c r="L554" s="60">
        <f>+K554-((K554*0.4996*0.125)+(K554*(1-0.4996)*0.26))</f>
        <v>0.0050061652</v>
      </c>
      <c r="M554" s="60">
        <f t="shared" si="17"/>
        <v>0.0050061652</v>
      </c>
      <c r="N554" s="67" t="s">
        <v>251</v>
      </c>
    </row>
    <row r="555" spans="1:252" s="30" customFormat="1" ht="23.25" customHeight="1">
      <c r="A555" s="12"/>
      <c r="B555" s="12" t="s">
        <v>186</v>
      </c>
      <c r="C555" s="69" t="s">
        <v>363</v>
      </c>
      <c r="D555" s="12" t="s">
        <v>411</v>
      </c>
      <c r="E555" s="65">
        <v>44134</v>
      </c>
      <c r="F555" s="66">
        <v>44137</v>
      </c>
      <c r="G555" s="66">
        <v>44140</v>
      </c>
      <c r="H555" s="67">
        <v>0.015</v>
      </c>
      <c r="I555" s="60">
        <v>0.114</v>
      </c>
      <c r="J555" s="113">
        <v>0</v>
      </c>
      <c r="K555" s="113">
        <v>0.114</v>
      </c>
      <c r="L555" s="60">
        <f>+K555-((K555*0.4996*0.125)+(K555*(1-0.4996)*0.26))</f>
        <v>0.092048844</v>
      </c>
      <c r="M555" s="60">
        <f t="shared" si="17"/>
        <v>0.092048844</v>
      </c>
      <c r="N555" s="67" t="s">
        <v>251</v>
      </c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  <c r="FZ555" s="29"/>
      <c r="GA555" s="29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  <c r="GO555" s="29"/>
      <c r="GP555" s="29"/>
      <c r="GQ555" s="29"/>
      <c r="GR555" s="29"/>
      <c r="GS555" s="29"/>
      <c r="GT555" s="29"/>
      <c r="GU555" s="29"/>
      <c r="GV555" s="29"/>
      <c r="GW555" s="29"/>
      <c r="GX555" s="29"/>
      <c r="GY555" s="29"/>
      <c r="GZ555" s="29"/>
      <c r="HA555" s="29"/>
      <c r="HB555" s="29"/>
      <c r="HC555" s="29"/>
      <c r="HD555" s="29"/>
      <c r="HE555" s="29"/>
      <c r="HF555" s="29"/>
      <c r="HG555" s="29"/>
      <c r="HH555" s="29"/>
      <c r="HI555" s="29"/>
      <c r="HJ555" s="29"/>
      <c r="HK555" s="29"/>
      <c r="HL555" s="29"/>
      <c r="HM555" s="29"/>
      <c r="HN555" s="29"/>
      <c r="HO555" s="29"/>
      <c r="HP555" s="29"/>
      <c r="HQ555" s="29"/>
      <c r="HR555" s="29"/>
      <c r="HS555" s="29"/>
      <c r="HT555" s="29"/>
      <c r="HU555" s="29"/>
      <c r="HV555" s="29"/>
      <c r="HW555" s="29"/>
      <c r="HX555" s="29"/>
      <c r="HY555" s="29"/>
      <c r="HZ555" s="29"/>
      <c r="IA555" s="29"/>
      <c r="IB555" s="29"/>
      <c r="IC555" s="29"/>
      <c r="ID555" s="29"/>
      <c r="IE555" s="29"/>
      <c r="IF555" s="29"/>
      <c r="IG555" s="29"/>
      <c r="IH555" s="29"/>
      <c r="II555" s="29"/>
      <c r="IJ555" s="29"/>
      <c r="IK555" s="29"/>
      <c r="IL555" s="29"/>
      <c r="IM555" s="29"/>
      <c r="IN555" s="29"/>
      <c r="IO555" s="29"/>
      <c r="IP555" s="29"/>
      <c r="IQ555" s="29"/>
      <c r="IR555" s="29"/>
    </row>
    <row r="556" spans="1:14" s="30" customFormat="1" ht="23.25" customHeight="1">
      <c r="A556" s="12" t="s">
        <v>188</v>
      </c>
      <c r="B556" s="12" t="s">
        <v>194</v>
      </c>
      <c r="C556" s="74" t="s">
        <v>364</v>
      </c>
      <c r="D556" s="73" t="s">
        <v>411</v>
      </c>
      <c r="E556" s="65">
        <v>44134</v>
      </c>
      <c r="F556" s="66">
        <v>44137</v>
      </c>
      <c r="G556" s="66">
        <v>44140</v>
      </c>
      <c r="H556" s="67">
        <v>0.015</v>
      </c>
      <c r="I556" s="60">
        <v>0.1168</v>
      </c>
      <c r="J556" s="113">
        <v>0</v>
      </c>
      <c r="K556" s="113">
        <v>0.1168</v>
      </c>
      <c r="L556" s="60">
        <f>+K556-((K556*0.4996*0.125)+(K556*(1-0.4996)*0.26))</f>
        <v>0.0943096928</v>
      </c>
      <c r="M556" s="60">
        <f t="shared" si="17"/>
        <v>0.0943096928</v>
      </c>
      <c r="N556" s="67" t="s">
        <v>251</v>
      </c>
    </row>
    <row r="557" spans="1:14" s="30" customFormat="1" ht="23.25" customHeight="1">
      <c r="A557" s="12" t="s">
        <v>231</v>
      </c>
      <c r="B557" s="12" t="s">
        <v>307</v>
      </c>
      <c r="C557" s="64" t="s">
        <v>420</v>
      </c>
      <c r="D557" s="12" t="s">
        <v>411</v>
      </c>
      <c r="E557" s="65">
        <v>44134</v>
      </c>
      <c r="F557" s="66">
        <v>44137</v>
      </c>
      <c r="G557" s="66">
        <v>44140</v>
      </c>
      <c r="H557" s="67">
        <v>0.015</v>
      </c>
      <c r="I557" s="60">
        <v>0.0062</v>
      </c>
      <c r="J557" s="113">
        <v>0</v>
      </c>
      <c r="K557" s="113">
        <v>0.0062</v>
      </c>
      <c r="L557" s="60">
        <f>+K557-((K557*0.619*0.125)+(K557*(1-0.619)*0.26))</f>
        <v>0.005106103</v>
      </c>
      <c r="M557" s="60">
        <f t="shared" si="17"/>
        <v>0.005106103</v>
      </c>
      <c r="N557" s="67" t="s">
        <v>251</v>
      </c>
    </row>
    <row r="558" spans="1:14" s="30" customFormat="1" ht="23.25" customHeight="1">
      <c r="A558" s="12"/>
      <c r="B558" s="12" t="s">
        <v>185</v>
      </c>
      <c r="C558" s="69" t="s">
        <v>366</v>
      </c>
      <c r="D558" s="12" t="s">
        <v>411</v>
      </c>
      <c r="E558" s="65">
        <v>44134</v>
      </c>
      <c r="F558" s="66">
        <v>44137</v>
      </c>
      <c r="G558" s="66">
        <v>44140</v>
      </c>
      <c r="H558" s="67">
        <v>0.015</v>
      </c>
      <c r="I558" s="60">
        <v>0.1039</v>
      </c>
      <c r="J558" s="113">
        <v>0</v>
      </c>
      <c r="K558" s="113">
        <v>0.1039</v>
      </c>
      <c r="L558" s="60">
        <f>+K558-((K558*0.619*0.125)+(K558*(1-0.619)*0.26))</f>
        <v>0.0855684035</v>
      </c>
      <c r="M558" s="60">
        <f t="shared" si="17"/>
        <v>0.0855684035</v>
      </c>
      <c r="N558" s="67" t="s">
        <v>251</v>
      </c>
    </row>
    <row r="559" spans="1:14" s="30" customFormat="1" ht="23.25" customHeight="1">
      <c r="A559" s="12" t="s">
        <v>229</v>
      </c>
      <c r="B559" s="12" t="s">
        <v>193</v>
      </c>
      <c r="C559" s="74" t="s">
        <v>367</v>
      </c>
      <c r="D559" s="73" t="s">
        <v>411</v>
      </c>
      <c r="E559" s="65">
        <v>44134</v>
      </c>
      <c r="F559" s="66">
        <v>44137</v>
      </c>
      <c r="G559" s="66">
        <v>44140</v>
      </c>
      <c r="H559" s="67">
        <v>0.015</v>
      </c>
      <c r="I559" s="60">
        <v>0.1009</v>
      </c>
      <c r="J559" s="113">
        <v>0</v>
      </c>
      <c r="K559" s="113">
        <v>0.1009</v>
      </c>
      <c r="L559" s="60">
        <f>+K559-((K559*0.619*0.125)+(K559*(1-0.619)*0.26))</f>
        <v>0.0830977085</v>
      </c>
      <c r="M559" s="60">
        <f t="shared" si="17"/>
        <v>0.0830977085</v>
      </c>
      <c r="N559" s="67" t="s">
        <v>251</v>
      </c>
    </row>
    <row r="560" spans="1:14" s="30" customFormat="1" ht="23.25" customHeight="1">
      <c r="A560" s="12"/>
      <c r="B560" s="12" t="s">
        <v>309</v>
      </c>
      <c r="C560" s="64" t="s">
        <v>427</v>
      </c>
      <c r="D560" s="12" t="s">
        <v>411</v>
      </c>
      <c r="E560" s="65">
        <v>44134</v>
      </c>
      <c r="F560" s="66">
        <v>44137</v>
      </c>
      <c r="G560" s="66">
        <v>44140</v>
      </c>
      <c r="H560" s="67">
        <v>0.035</v>
      </c>
      <c r="I560" s="60">
        <v>0.0145</v>
      </c>
      <c r="J560" s="113">
        <v>0</v>
      </c>
      <c r="K560" s="113">
        <v>0.0145</v>
      </c>
      <c r="L560" s="60">
        <f>+K560-((K560*0.0000001*0.125)+(K560*(1-0.0000001)*0.26))</f>
        <v>0.01073000019575</v>
      </c>
      <c r="M560" s="60">
        <f t="shared" si="17"/>
        <v>0.01073000019575</v>
      </c>
      <c r="N560" s="67" t="s">
        <v>251</v>
      </c>
    </row>
    <row r="561" spans="1:14" s="30" customFormat="1" ht="23.25" customHeight="1">
      <c r="A561" s="12" t="s">
        <v>184</v>
      </c>
      <c r="B561" s="12" t="s">
        <v>187</v>
      </c>
      <c r="C561" s="69" t="s">
        <v>368</v>
      </c>
      <c r="D561" s="12" t="s">
        <v>411</v>
      </c>
      <c r="E561" s="65">
        <v>44134</v>
      </c>
      <c r="F561" s="66">
        <v>44137</v>
      </c>
      <c r="G561" s="66">
        <v>44140</v>
      </c>
      <c r="H561" s="67">
        <v>0.035</v>
      </c>
      <c r="I561" s="60">
        <v>0.2568</v>
      </c>
      <c r="J561" s="113">
        <v>0</v>
      </c>
      <c r="K561" s="113">
        <v>0.2568</v>
      </c>
      <c r="L561" s="60">
        <f>+K561-((K561*0.0000001*0.125)+(K561*(1-0.0000001)*0.26))</f>
        <v>0.19003200346679996</v>
      </c>
      <c r="M561" s="60">
        <f t="shared" si="17"/>
        <v>0.19003200346679996</v>
      </c>
      <c r="N561" s="67" t="s">
        <v>251</v>
      </c>
    </row>
    <row r="562" spans="1:14" s="30" customFormat="1" ht="23.25" customHeight="1">
      <c r="A562" s="12" t="s">
        <v>192</v>
      </c>
      <c r="B562" s="12" t="s">
        <v>195</v>
      </c>
      <c r="C562" s="74" t="s">
        <v>369</v>
      </c>
      <c r="D562" s="73" t="s">
        <v>411</v>
      </c>
      <c r="E562" s="65">
        <v>44134</v>
      </c>
      <c r="F562" s="66">
        <v>44137</v>
      </c>
      <c r="G562" s="66">
        <v>44140</v>
      </c>
      <c r="H562" s="67">
        <v>0.035</v>
      </c>
      <c r="I562" s="60">
        <v>0.264</v>
      </c>
      <c r="J562" s="113">
        <v>0</v>
      </c>
      <c r="K562" s="113">
        <v>0.264</v>
      </c>
      <c r="L562" s="60">
        <f>+K562-((K562*0.0000001*0.125)+(K562*(1-0.0000001)*0.26))</f>
        <v>0.19536000356400002</v>
      </c>
      <c r="M562" s="60">
        <f t="shared" si="17"/>
        <v>0.19536000356400002</v>
      </c>
      <c r="N562" s="67" t="s">
        <v>251</v>
      </c>
    </row>
    <row r="563" spans="1:199" s="30" customFormat="1" ht="23.25" customHeight="1">
      <c r="A563" s="12"/>
      <c r="B563" s="12" t="s">
        <v>312</v>
      </c>
      <c r="C563" s="64" t="s">
        <v>428</v>
      </c>
      <c r="D563" s="12" t="s">
        <v>411</v>
      </c>
      <c r="E563" s="65">
        <v>44134</v>
      </c>
      <c r="F563" s="66">
        <v>44137</v>
      </c>
      <c r="G563" s="66">
        <v>44140</v>
      </c>
      <c r="H563" s="67">
        <v>0.05</v>
      </c>
      <c r="I563" s="60">
        <v>0.0211</v>
      </c>
      <c r="J563" s="113">
        <v>0</v>
      </c>
      <c r="K563" s="113">
        <v>0.0211</v>
      </c>
      <c r="L563" s="60">
        <f>+K563-((K563*0.028*0.125)+(K563*(1-0.028)*0.26))</f>
        <v>0.015693758</v>
      </c>
      <c r="M563" s="60">
        <f t="shared" si="17"/>
        <v>0.015693758</v>
      </c>
      <c r="N563" s="67" t="s">
        <v>251</v>
      </c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29"/>
      <c r="EV563" s="29"/>
      <c r="EW563" s="29"/>
      <c r="EX563" s="29"/>
      <c r="EY563" s="29"/>
      <c r="EZ563" s="29"/>
      <c r="FA563" s="29"/>
      <c r="FB563" s="29"/>
      <c r="FC563" s="29"/>
      <c r="FD563" s="29"/>
      <c r="FE563" s="29"/>
      <c r="FF563" s="29"/>
      <c r="FG563" s="29"/>
      <c r="FH563" s="29"/>
      <c r="FI563" s="29"/>
      <c r="FJ563" s="29"/>
      <c r="FK563" s="29"/>
      <c r="FL563" s="29"/>
      <c r="FM563" s="29"/>
      <c r="FN563" s="29"/>
      <c r="FO563" s="29"/>
      <c r="FP563" s="29"/>
      <c r="FQ563" s="29"/>
      <c r="FR563" s="29"/>
      <c r="FS563" s="29"/>
      <c r="FT563" s="29"/>
      <c r="FU563" s="29"/>
      <c r="FV563" s="29"/>
      <c r="FW563" s="29"/>
      <c r="FX563" s="29"/>
      <c r="FY563" s="29"/>
      <c r="FZ563" s="29"/>
      <c r="GA563" s="29"/>
      <c r="GB563" s="29"/>
      <c r="GC563" s="29"/>
      <c r="GD563" s="29"/>
      <c r="GE563" s="29"/>
      <c r="GF563" s="29"/>
      <c r="GG563" s="29"/>
      <c r="GH563" s="29"/>
      <c r="GI563" s="29"/>
      <c r="GJ563" s="29"/>
      <c r="GK563" s="29"/>
      <c r="GL563" s="29"/>
      <c r="GM563" s="29"/>
      <c r="GN563" s="29"/>
      <c r="GO563" s="29"/>
      <c r="GP563" s="29"/>
      <c r="GQ563" s="29"/>
    </row>
    <row r="564" spans="1:199" s="30" customFormat="1" ht="23.25" customHeight="1">
      <c r="A564" s="12" t="s">
        <v>189</v>
      </c>
      <c r="B564" s="12" t="s">
        <v>190</v>
      </c>
      <c r="C564" s="69" t="s">
        <v>370</v>
      </c>
      <c r="D564" s="12" t="s">
        <v>411</v>
      </c>
      <c r="E564" s="65">
        <v>44134</v>
      </c>
      <c r="F564" s="66">
        <v>44137</v>
      </c>
      <c r="G564" s="66">
        <v>44140</v>
      </c>
      <c r="H564" s="67">
        <v>0.05</v>
      </c>
      <c r="I564" s="60">
        <v>0.3999</v>
      </c>
      <c r="J564" s="113">
        <v>0</v>
      </c>
      <c r="K564" s="113">
        <v>0.3999</v>
      </c>
      <c r="L564" s="60">
        <f>+K564-((K564*0.028*0.125)+(K564*(1-0.028)*0.26))</f>
        <v>0.297437622</v>
      </c>
      <c r="M564" s="60">
        <f t="shared" si="17"/>
        <v>0.297437622</v>
      </c>
      <c r="N564" s="67" t="s">
        <v>251</v>
      </c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</row>
    <row r="565" spans="1:199" s="30" customFormat="1" ht="23.25" customHeight="1">
      <c r="A565" s="12" t="s">
        <v>197</v>
      </c>
      <c r="B565" s="12" t="s">
        <v>198</v>
      </c>
      <c r="C565" s="74" t="s">
        <v>371</v>
      </c>
      <c r="D565" s="73" t="s">
        <v>411</v>
      </c>
      <c r="E565" s="65">
        <v>44134</v>
      </c>
      <c r="F565" s="66">
        <v>44137</v>
      </c>
      <c r="G565" s="66">
        <v>44140</v>
      </c>
      <c r="H565" s="67">
        <v>0.05</v>
      </c>
      <c r="I565" s="60">
        <v>0.3995</v>
      </c>
      <c r="J565" s="113">
        <v>0</v>
      </c>
      <c r="K565" s="113">
        <v>0.3995</v>
      </c>
      <c r="L565" s="60">
        <f>+K565-((K565*0.028*0.125)+(K565*(1-0.028)*0.26))</f>
        <v>0.29714011</v>
      </c>
      <c r="M565" s="60">
        <f t="shared" si="17"/>
        <v>0.29714011</v>
      </c>
      <c r="N565" s="67" t="s">
        <v>251</v>
      </c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29"/>
      <c r="EV565" s="29"/>
      <c r="EW565" s="29"/>
      <c r="EX565" s="29"/>
      <c r="EY565" s="29"/>
      <c r="EZ565" s="29"/>
      <c r="FA565" s="29"/>
      <c r="FB565" s="29"/>
      <c r="FC565" s="29"/>
      <c r="FD565" s="29"/>
      <c r="FE565" s="29"/>
      <c r="FF565" s="29"/>
      <c r="FG565" s="29"/>
      <c r="FH565" s="29"/>
      <c r="FI565" s="29"/>
      <c r="FJ565" s="29"/>
      <c r="FK565" s="29"/>
      <c r="FL565" s="29"/>
      <c r="FM565" s="29"/>
      <c r="FN565" s="29"/>
      <c r="FO565" s="29"/>
      <c r="FP565" s="29"/>
      <c r="FQ565" s="29"/>
      <c r="FR565" s="29"/>
      <c r="FS565" s="29"/>
      <c r="FT565" s="29"/>
      <c r="FU565" s="29"/>
      <c r="FV565" s="29"/>
      <c r="FW565" s="29"/>
      <c r="FX565" s="29"/>
      <c r="FY565" s="29"/>
      <c r="FZ565" s="29"/>
      <c r="GA565" s="29"/>
      <c r="GB565" s="29"/>
      <c r="GC565" s="29"/>
      <c r="GD565" s="29"/>
      <c r="GE565" s="29"/>
      <c r="GF565" s="29"/>
      <c r="GG565" s="29"/>
      <c r="GH565" s="29"/>
      <c r="GI565" s="29"/>
      <c r="GJ565" s="29"/>
      <c r="GK565" s="29"/>
      <c r="GL565" s="29"/>
      <c r="GM565" s="29"/>
      <c r="GN565" s="29"/>
      <c r="GO565" s="29"/>
      <c r="GP565" s="29"/>
      <c r="GQ565" s="29"/>
    </row>
    <row r="566" spans="1:199" s="30" customFormat="1" ht="23.25" customHeight="1">
      <c r="A566" s="12"/>
      <c r="B566" s="12" t="s">
        <v>516</v>
      </c>
      <c r="C566" s="64" t="s">
        <v>518</v>
      </c>
      <c r="D566" s="12" t="s">
        <v>411</v>
      </c>
      <c r="E566" s="65">
        <v>44134</v>
      </c>
      <c r="F566" s="66">
        <v>44137</v>
      </c>
      <c r="G566" s="66">
        <v>44140</v>
      </c>
      <c r="H566" s="67">
        <v>0.02</v>
      </c>
      <c r="I566" s="60">
        <v>0.1357</v>
      </c>
      <c r="J566" s="113">
        <v>0</v>
      </c>
      <c r="K566" s="113">
        <v>0.1357</v>
      </c>
      <c r="L566" s="60">
        <f>+K566-((K566*0.4903*0.125)+(K566*(1-0.4903)*0.26))</f>
        <v>0.10940005084999999</v>
      </c>
      <c r="M566" s="60">
        <f t="shared" si="17"/>
        <v>0.10940005084999999</v>
      </c>
      <c r="N566" s="67" t="s">
        <v>251</v>
      </c>
      <c r="GP566" s="94"/>
      <c r="GQ566" s="94"/>
    </row>
    <row r="567" spans="1:199" s="30" customFormat="1" ht="23.25" customHeight="1">
      <c r="A567" s="12" t="s">
        <v>185</v>
      </c>
      <c r="B567" s="12" t="s">
        <v>517</v>
      </c>
      <c r="C567" s="64" t="s">
        <v>519</v>
      </c>
      <c r="D567" s="12" t="s">
        <v>411</v>
      </c>
      <c r="E567" s="65">
        <v>44134</v>
      </c>
      <c r="F567" s="66">
        <v>44137</v>
      </c>
      <c r="G567" s="66">
        <v>44140</v>
      </c>
      <c r="H567" s="67">
        <v>0.02</v>
      </c>
      <c r="I567" s="60">
        <v>0.1364</v>
      </c>
      <c r="J567" s="113">
        <v>0</v>
      </c>
      <c r="K567" s="113">
        <v>0.1364</v>
      </c>
      <c r="L567" s="60">
        <f>+K567-((K567*0.4903*0.125)+(K567*(1-0.4903)*0.26))</f>
        <v>0.10996438419999999</v>
      </c>
      <c r="M567" s="60">
        <f t="shared" si="17"/>
        <v>0.10996438419999999</v>
      </c>
      <c r="N567" s="67" t="s">
        <v>251</v>
      </c>
      <c r="GP567" s="94"/>
      <c r="GQ567" s="94"/>
    </row>
    <row r="568" spans="1:199" s="30" customFormat="1" ht="23.25" customHeight="1">
      <c r="A568" s="12" t="s">
        <v>186</v>
      </c>
      <c r="B568" s="12" t="s">
        <v>313</v>
      </c>
      <c r="C568" s="64" t="s">
        <v>429</v>
      </c>
      <c r="D568" s="12" t="s">
        <v>411</v>
      </c>
      <c r="E568" s="65">
        <v>44134</v>
      </c>
      <c r="F568" s="66">
        <v>44137</v>
      </c>
      <c r="G568" s="66">
        <v>44140</v>
      </c>
      <c r="H568" s="70">
        <v>0.0225</v>
      </c>
      <c r="I568" s="60">
        <v>0.0093</v>
      </c>
      <c r="J568" s="113">
        <v>0</v>
      </c>
      <c r="K568" s="113">
        <v>0.0093</v>
      </c>
      <c r="L568" s="60">
        <f>+K568-((K568*0.1466*0.125)+(K568*(1-0.1466)*0.26))</f>
        <v>0.0070660563</v>
      </c>
      <c r="M568" s="60">
        <f t="shared" si="17"/>
        <v>0.0070660563</v>
      </c>
      <c r="N568" s="67" t="s">
        <v>251</v>
      </c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29"/>
      <c r="EV568" s="29"/>
      <c r="EW568" s="29"/>
      <c r="EX568" s="29"/>
      <c r="EY568" s="29"/>
      <c r="EZ568" s="29"/>
      <c r="FA568" s="29"/>
      <c r="FB568" s="29"/>
      <c r="FC568" s="29"/>
      <c r="FD568" s="29"/>
      <c r="FE568" s="29"/>
      <c r="FF568" s="29"/>
      <c r="FG568" s="29"/>
      <c r="FH568" s="29"/>
      <c r="FI568" s="29"/>
      <c r="FJ568" s="29"/>
      <c r="FK568" s="29"/>
      <c r="FL568" s="29"/>
      <c r="FM568" s="29"/>
      <c r="FN568" s="29"/>
      <c r="FO568" s="29"/>
      <c r="FP568" s="29"/>
      <c r="FQ568" s="29"/>
      <c r="FR568" s="29"/>
      <c r="FS568" s="29"/>
      <c r="FT568" s="29"/>
      <c r="FU568" s="29"/>
      <c r="FV568" s="29"/>
      <c r="FW568" s="29"/>
      <c r="FX568" s="29"/>
      <c r="FY568" s="29"/>
      <c r="FZ568" s="29"/>
      <c r="GA568" s="29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  <c r="GO568" s="29"/>
      <c r="GP568" s="29"/>
      <c r="GQ568" s="29"/>
    </row>
    <row r="569" spans="1:14" s="30" customFormat="1" ht="23.25" customHeight="1">
      <c r="A569" s="12" t="s">
        <v>193</v>
      </c>
      <c r="B569" s="73" t="s">
        <v>334</v>
      </c>
      <c r="C569" s="74" t="s">
        <v>401</v>
      </c>
      <c r="D569" s="73" t="s">
        <v>412</v>
      </c>
      <c r="E569" s="107">
        <v>44137</v>
      </c>
      <c r="F569" s="107">
        <v>44138</v>
      </c>
      <c r="G569" s="107">
        <v>44141</v>
      </c>
      <c r="H569" s="67"/>
      <c r="I569" s="60">
        <v>2</v>
      </c>
      <c r="J569" s="113">
        <v>0</v>
      </c>
      <c r="K569" s="113">
        <v>2</v>
      </c>
      <c r="L569" s="60">
        <f>+K569-((K569*0.0195*0.125)+(K569*(1-0.0195)*0.26))</f>
        <v>1.485265</v>
      </c>
      <c r="M569" s="60">
        <f t="shared" si="17"/>
        <v>1.485265</v>
      </c>
      <c r="N569" s="67" t="s">
        <v>288</v>
      </c>
    </row>
    <row r="570" spans="1:14" s="30" customFormat="1" ht="23.25" customHeight="1">
      <c r="A570" s="12"/>
      <c r="B570" s="73" t="s">
        <v>333</v>
      </c>
      <c r="C570" s="74" t="s">
        <v>402</v>
      </c>
      <c r="D570" s="73" t="s">
        <v>412</v>
      </c>
      <c r="E570" s="107">
        <v>44137</v>
      </c>
      <c r="F570" s="107">
        <v>44138</v>
      </c>
      <c r="G570" s="107">
        <v>44141</v>
      </c>
      <c r="H570" s="67"/>
      <c r="I570" s="60">
        <v>2</v>
      </c>
      <c r="J570" s="113">
        <v>0</v>
      </c>
      <c r="K570" s="113">
        <v>2</v>
      </c>
      <c r="L570" s="60">
        <f>+K570-((K570*0.0195*0.125)+(K570*(1-0.0195)*0.26))</f>
        <v>1.485265</v>
      </c>
      <c r="M570" s="60">
        <f t="shared" si="17"/>
        <v>1.485265</v>
      </c>
      <c r="N570" s="67" t="s">
        <v>288</v>
      </c>
    </row>
    <row r="571" spans="1:252" s="30" customFormat="1" ht="23.25" customHeight="1">
      <c r="A571" s="12"/>
      <c r="B571" s="12" t="s">
        <v>310</v>
      </c>
      <c r="C571" s="64" t="s">
        <v>424</v>
      </c>
      <c r="D571" s="12" t="s">
        <v>411</v>
      </c>
      <c r="E571" s="65">
        <v>44165</v>
      </c>
      <c r="F571" s="66">
        <v>44166</v>
      </c>
      <c r="G571" s="66">
        <v>44169</v>
      </c>
      <c r="H571" s="70">
        <v>0.05</v>
      </c>
      <c r="I571" s="60">
        <v>0.0209</v>
      </c>
      <c r="J571" s="113">
        <v>0</v>
      </c>
      <c r="K571" s="113">
        <v>0.0209</v>
      </c>
      <c r="L571" s="60">
        <f>+K571-((K571*0.03783*0.125)+(K571*(1-0.089)*0.26))</f>
        <v>0.015850795124999997</v>
      </c>
      <c r="M571" s="60">
        <f t="shared" si="17"/>
        <v>0.015850795124999997</v>
      </c>
      <c r="N571" s="67" t="s">
        <v>251</v>
      </c>
      <c r="IR571" s="94"/>
    </row>
    <row r="572" spans="1:252" s="30" customFormat="1" ht="23.25" customHeight="1">
      <c r="A572" s="12" t="s">
        <v>187</v>
      </c>
      <c r="B572" s="12" t="s">
        <v>188</v>
      </c>
      <c r="C572" s="69" t="s">
        <v>339</v>
      </c>
      <c r="D572" s="12" t="s">
        <v>411</v>
      </c>
      <c r="E572" s="65">
        <v>44165</v>
      </c>
      <c r="F572" s="66">
        <v>44166</v>
      </c>
      <c r="G572" s="66">
        <v>44169</v>
      </c>
      <c r="H572" s="70">
        <v>0.05</v>
      </c>
      <c r="I572" s="60">
        <v>0.3655</v>
      </c>
      <c r="J572" s="113">
        <v>0</v>
      </c>
      <c r="K572" s="113">
        <v>0.3655</v>
      </c>
      <c r="L572" s="60">
        <f>+K572-((K572*0.03783*0.125)+(K572*(1-0.089)*0.26))</f>
        <v>0.277199311875</v>
      </c>
      <c r="M572" s="60">
        <f t="shared" si="17"/>
        <v>0.277199311875</v>
      </c>
      <c r="N572" s="67" t="s">
        <v>251</v>
      </c>
      <c r="IR572" s="94"/>
    </row>
    <row r="573" spans="1:252" s="30" customFormat="1" ht="23.25" customHeight="1">
      <c r="A573" s="12" t="s">
        <v>195</v>
      </c>
      <c r="B573" s="12" t="s">
        <v>196</v>
      </c>
      <c r="C573" s="74" t="s">
        <v>340</v>
      </c>
      <c r="D573" s="73" t="s">
        <v>411</v>
      </c>
      <c r="E573" s="65">
        <v>44165</v>
      </c>
      <c r="F573" s="66">
        <v>44166</v>
      </c>
      <c r="G573" s="66">
        <v>44169</v>
      </c>
      <c r="H573" s="70">
        <v>0.05</v>
      </c>
      <c r="I573" s="60">
        <v>0.3778</v>
      </c>
      <c r="J573" s="113">
        <v>0</v>
      </c>
      <c r="K573" s="113">
        <v>0.3778</v>
      </c>
      <c r="L573" s="60">
        <f>+K573-((K573*0.03783*0.125)+(K573*(1-0.089)*0.26))</f>
        <v>0.28652777025</v>
      </c>
      <c r="M573" s="60">
        <f aca="true" t="shared" si="19" ref="M573:M604">J573+L573</f>
        <v>0.28652777025</v>
      </c>
      <c r="N573" s="67" t="s">
        <v>251</v>
      </c>
      <c r="IR573" s="94"/>
    </row>
    <row r="574" spans="1:199" s="30" customFormat="1" ht="23.25" customHeight="1">
      <c r="A574" s="12" t="s">
        <v>190</v>
      </c>
      <c r="B574" s="12" t="s">
        <v>191</v>
      </c>
      <c r="C574" s="69" t="s">
        <v>346</v>
      </c>
      <c r="D574" s="12" t="s">
        <v>411</v>
      </c>
      <c r="E574" s="65">
        <v>44165</v>
      </c>
      <c r="F574" s="66">
        <v>44166</v>
      </c>
      <c r="G574" s="66">
        <v>44169</v>
      </c>
      <c r="H574" s="67">
        <v>0.035</v>
      </c>
      <c r="I574" s="60">
        <v>0.0147</v>
      </c>
      <c r="J574" s="113">
        <v>0</v>
      </c>
      <c r="K574" s="113">
        <v>0.0147</v>
      </c>
      <c r="L574" s="60">
        <f>+K574-((K574*0.7742*0.125)+(K574*(1-0.7742)*0.26))</f>
        <v>0.0124143999</v>
      </c>
      <c r="M574" s="60">
        <f t="shared" si="19"/>
        <v>0.0124143999</v>
      </c>
      <c r="N574" s="67" t="s">
        <v>251</v>
      </c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</row>
    <row r="575" spans="1:199" s="30" customFormat="1" ht="23.25" customHeight="1">
      <c r="A575" s="12" t="s">
        <v>198</v>
      </c>
      <c r="B575" s="12" t="s">
        <v>199</v>
      </c>
      <c r="C575" s="74" t="s">
        <v>347</v>
      </c>
      <c r="D575" s="73" t="s">
        <v>411</v>
      </c>
      <c r="E575" s="65">
        <v>44165</v>
      </c>
      <c r="F575" s="66">
        <v>44166</v>
      </c>
      <c r="G575" s="66">
        <v>44169</v>
      </c>
      <c r="H575" s="67">
        <v>0.035</v>
      </c>
      <c r="I575" s="60">
        <v>0.0147</v>
      </c>
      <c r="J575" s="113">
        <v>0</v>
      </c>
      <c r="K575" s="113">
        <v>0.0147</v>
      </c>
      <c r="L575" s="60">
        <f>+K575-((K575*0.7742*0.125)+(K575*(1-0.7742)*0.26))</f>
        <v>0.0124143999</v>
      </c>
      <c r="M575" s="60">
        <f t="shared" si="19"/>
        <v>0.0124143999</v>
      </c>
      <c r="N575" s="67" t="s">
        <v>251</v>
      </c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  <c r="FZ575" s="29"/>
      <c r="GA575" s="29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  <c r="GO575" s="29"/>
      <c r="GP575" s="29"/>
      <c r="GQ575" s="29"/>
    </row>
    <row r="576" spans="1:252" s="30" customFormat="1" ht="23.25" customHeight="1">
      <c r="A576" s="12"/>
      <c r="B576" s="12" t="s">
        <v>306</v>
      </c>
      <c r="C576" s="64" t="s">
        <v>430</v>
      </c>
      <c r="D576" s="12" t="s">
        <v>411</v>
      </c>
      <c r="E576" s="65">
        <v>44165</v>
      </c>
      <c r="F576" s="66">
        <v>44166</v>
      </c>
      <c r="G576" s="66">
        <v>44169</v>
      </c>
      <c r="H576" s="67">
        <v>0.02</v>
      </c>
      <c r="I576" s="60">
        <v>0.0084</v>
      </c>
      <c r="J576" s="113">
        <v>0</v>
      </c>
      <c r="K576" s="113">
        <v>0.0084</v>
      </c>
      <c r="L576" s="60">
        <f aca="true" t="shared" si="20" ref="L576:L581">+K576-((K576*0.0000001*0.125)+(K576*(1-0.0000001)*0.26))</f>
        <v>0.0062160001134</v>
      </c>
      <c r="M576" s="60">
        <f t="shared" si="19"/>
        <v>0.0062160001134</v>
      </c>
      <c r="N576" s="67" t="s">
        <v>251</v>
      </c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</row>
    <row r="577" spans="1:199" s="30" customFormat="1" ht="23.25" customHeight="1">
      <c r="A577" s="12"/>
      <c r="B577" s="12" t="s">
        <v>184</v>
      </c>
      <c r="C577" s="69" t="s">
        <v>354</v>
      </c>
      <c r="D577" s="12" t="s">
        <v>411</v>
      </c>
      <c r="E577" s="65">
        <v>44165</v>
      </c>
      <c r="F577" s="66">
        <v>44166</v>
      </c>
      <c r="G577" s="66">
        <v>44169</v>
      </c>
      <c r="H577" s="67">
        <v>0.02</v>
      </c>
      <c r="I577" s="60">
        <v>0.1688</v>
      </c>
      <c r="J577" s="113">
        <v>0</v>
      </c>
      <c r="K577" s="113">
        <v>0.1688</v>
      </c>
      <c r="L577" s="60">
        <f t="shared" si="20"/>
        <v>0.1249120022788</v>
      </c>
      <c r="M577" s="60">
        <f t="shared" si="19"/>
        <v>0.1249120022788</v>
      </c>
      <c r="N577" s="67" t="s">
        <v>251</v>
      </c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29"/>
      <c r="EV577" s="29"/>
      <c r="EW577" s="29"/>
      <c r="EX577" s="29"/>
      <c r="EY577" s="29"/>
      <c r="EZ577" s="29"/>
      <c r="FA577" s="29"/>
      <c r="FB577" s="29"/>
      <c r="FC577" s="29"/>
      <c r="FD577" s="29"/>
      <c r="FE577" s="29"/>
      <c r="FF577" s="29"/>
      <c r="FG577" s="29"/>
      <c r="FH577" s="29"/>
      <c r="FI577" s="29"/>
      <c r="FJ577" s="29"/>
      <c r="FK577" s="29"/>
      <c r="FL577" s="29"/>
      <c r="FM577" s="29"/>
      <c r="FN577" s="29"/>
      <c r="FO577" s="29"/>
      <c r="FP577" s="29"/>
      <c r="FQ577" s="29"/>
      <c r="FR577" s="29"/>
      <c r="FS577" s="29"/>
      <c r="FT577" s="29"/>
      <c r="FU577" s="29"/>
      <c r="FV577" s="29"/>
      <c r="FW577" s="29"/>
      <c r="FX577" s="29"/>
      <c r="FY577" s="29"/>
      <c r="FZ577" s="29"/>
      <c r="GA577" s="29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  <c r="GO577" s="29"/>
      <c r="GP577" s="29"/>
      <c r="GQ577" s="29"/>
    </row>
    <row r="578" spans="1:252" s="29" customFormat="1" ht="23.25" customHeight="1">
      <c r="A578" s="12"/>
      <c r="B578" s="12" t="s">
        <v>192</v>
      </c>
      <c r="C578" s="74" t="s">
        <v>355</v>
      </c>
      <c r="D578" s="73" t="s">
        <v>411</v>
      </c>
      <c r="E578" s="65">
        <v>44165</v>
      </c>
      <c r="F578" s="66">
        <v>44166</v>
      </c>
      <c r="G578" s="66">
        <v>44169</v>
      </c>
      <c r="H578" s="67">
        <v>0.02</v>
      </c>
      <c r="I578" s="60">
        <v>0.1698</v>
      </c>
      <c r="J578" s="113">
        <v>0</v>
      </c>
      <c r="K578" s="113">
        <v>0.1698</v>
      </c>
      <c r="L578" s="60">
        <f t="shared" si="20"/>
        <v>0.1256520022923</v>
      </c>
      <c r="M578" s="60">
        <f t="shared" si="19"/>
        <v>0.1256520022923</v>
      </c>
      <c r="N578" s="67" t="s">
        <v>251</v>
      </c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</row>
    <row r="579" spans="1:252" s="29" customFormat="1" ht="23.25" customHeight="1">
      <c r="A579" s="12" t="s">
        <v>124</v>
      </c>
      <c r="B579" s="12" t="s">
        <v>311</v>
      </c>
      <c r="C579" s="64" t="s">
        <v>425</v>
      </c>
      <c r="D579" s="12" t="s">
        <v>411</v>
      </c>
      <c r="E579" s="65">
        <v>44165</v>
      </c>
      <c r="F579" s="66">
        <v>44166</v>
      </c>
      <c r="G579" s="66">
        <v>44169</v>
      </c>
      <c r="H579" s="67">
        <v>0.01</v>
      </c>
      <c r="I579" s="60">
        <v>0.0042</v>
      </c>
      <c r="J579" s="113">
        <v>0</v>
      </c>
      <c r="K579" s="113">
        <v>0.0042</v>
      </c>
      <c r="L579" s="60">
        <f t="shared" si="20"/>
        <v>0.0031080000567</v>
      </c>
      <c r="M579" s="60">
        <f t="shared" si="19"/>
        <v>0.0031080000567</v>
      </c>
      <c r="N579" s="67" t="s">
        <v>251</v>
      </c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</row>
    <row r="580" spans="1:14" s="29" customFormat="1" ht="23.25" customHeight="1">
      <c r="A580" s="12"/>
      <c r="B580" s="12" t="s">
        <v>189</v>
      </c>
      <c r="C580" s="69" t="s">
        <v>356</v>
      </c>
      <c r="D580" s="12" t="s">
        <v>411</v>
      </c>
      <c r="E580" s="65">
        <v>44165</v>
      </c>
      <c r="F580" s="66">
        <v>44166</v>
      </c>
      <c r="G580" s="66">
        <v>44169</v>
      </c>
      <c r="H580" s="67">
        <v>0.01</v>
      </c>
      <c r="I580" s="60">
        <v>0.0763</v>
      </c>
      <c r="J580" s="113">
        <v>0</v>
      </c>
      <c r="K580" s="113">
        <v>0.0763</v>
      </c>
      <c r="L580" s="60">
        <f t="shared" si="20"/>
        <v>0.05646200103005</v>
      </c>
      <c r="M580" s="60">
        <f t="shared" si="19"/>
        <v>0.05646200103005</v>
      </c>
      <c r="N580" s="67" t="s">
        <v>251</v>
      </c>
    </row>
    <row r="581" spans="1:252" s="30" customFormat="1" ht="23.25" customHeight="1">
      <c r="A581" s="12"/>
      <c r="B581" s="12" t="s">
        <v>197</v>
      </c>
      <c r="C581" s="74" t="s">
        <v>357</v>
      </c>
      <c r="D581" s="73" t="s">
        <v>411</v>
      </c>
      <c r="E581" s="65">
        <v>44165</v>
      </c>
      <c r="F581" s="66">
        <v>44166</v>
      </c>
      <c r="G581" s="66">
        <v>44169</v>
      </c>
      <c r="H581" s="67">
        <v>0.01</v>
      </c>
      <c r="I581" s="60">
        <v>0.0774</v>
      </c>
      <c r="J581" s="113">
        <v>0</v>
      </c>
      <c r="K581" s="113">
        <v>0.0774</v>
      </c>
      <c r="L581" s="60">
        <f t="shared" si="20"/>
        <v>0.05727600104489999</v>
      </c>
      <c r="M581" s="60">
        <f t="shared" si="19"/>
        <v>0.05727600104489999</v>
      </c>
      <c r="N581" s="67" t="s">
        <v>251</v>
      </c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  <c r="IB581" s="29"/>
      <c r="IC581" s="29"/>
      <c r="ID581" s="29"/>
      <c r="IE581" s="29"/>
      <c r="IF581" s="29"/>
      <c r="IG581" s="29"/>
      <c r="IH581" s="29"/>
      <c r="II581" s="29"/>
      <c r="IJ581" s="29"/>
      <c r="IK581" s="29"/>
      <c r="IL581" s="29"/>
      <c r="IM581" s="29"/>
      <c r="IN581" s="29"/>
      <c r="IO581" s="29"/>
      <c r="IP581" s="29"/>
      <c r="IQ581" s="29"/>
      <c r="IR581" s="29"/>
    </row>
    <row r="582" spans="1:199" s="30" customFormat="1" ht="23.25" customHeight="1">
      <c r="A582" s="12"/>
      <c r="B582" s="12" t="s">
        <v>308</v>
      </c>
      <c r="C582" s="64" t="s">
        <v>426</v>
      </c>
      <c r="D582" s="12" t="s">
        <v>411</v>
      </c>
      <c r="E582" s="65">
        <v>44165</v>
      </c>
      <c r="F582" s="66">
        <v>44166</v>
      </c>
      <c r="G582" s="66">
        <v>44169</v>
      </c>
      <c r="H582" s="67">
        <v>0.015</v>
      </c>
      <c r="I582" s="60">
        <v>0.0062</v>
      </c>
      <c r="J582" s="113">
        <v>0</v>
      </c>
      <c r="K582" s="113">
        <v>0.0062</v>
      </c>
      <c r="L582" s="60">
        <f>+K582-((K582*0.4996*0.125)+(K582*(1-0.4996)*0.26))</f>
        <v>0.0050061652</v>
      </c>
      <c r="M582" s="60">
        <f t="shared" si="19"/>
        <v>0.0050061652</v>
      </c>
      <c r="N582" s="67" t="s">
        <v>251</v>
      </c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29"/>
      <c r="EV582" s="29"/>
      <c r="EW582" s="29"/>
      <c r="EX582" s="29"/>
      <c r="EY582" s="29"/>
      <c r="EZ582" s="29"/>
      <c r="FA582" s="29"/>
      <c r="FB582" s="29"/>
      <c r="FC582" s="29"/>
      <c r="FD582" s="29"/>
      <c r="FE582" s="29"/>
      <c r="FF582" s="29"/>
      <c r="FG582" s="29"/>
      <c r="FH582" s="29"/>
      <c r="FI582" s="29"/>
      <c r="FJ582" s="29"/>
      <c r="FK582" s="29"/>
      <c r="FL582" s="29"/>
      <c r="FM582" s="29"/>
      <c r="FN582" s="29"/>
      <c r="FO582" s="29"/>
      <c r="FP582" s="29"/>
      <c r="FQ582" s="29"/>
      <c r="FR582" s="29"/>
      <c r="FS582" s="29"/>
      <c r="FT582" s="29"/>
      <c r="FU582" s="29"/>
      <c r="FV582" s="29"/>
      <c r="FW582" s="29"/>
      <c r="FX582" s="29"/>
      <c r="FY582" s="29"/>
      <c r="FZ582" s="29"/>
      <c r="GA582" s="29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  <c r="GO582" s="29"/>
      <c r="GP582" s="29"/>
      <c r="GQ582" s="29"/>
    </row>
    <row r="583" spans="1:14" s="30" customFormat="1" ht="23.25" customHeight="1">
      <c r="A583" s="12" t="s">
        <v>122</v>
      </c>
      <c r="B583" s="12" t="s">
        <v>186</v>
      </c>
      <c r="C583" s="69" t="s">
        <v>363</v>
      </c>
      <c r="D583" s="12" t="s">
        <v>411</v>
      </c>
      <c r="E583" s="65">
        <v>44165</v>
      </c>
      <c r="F583" s="66">
        <v>44166</v>
      </c>
      <c r="G583" s="66">
        <v>44169</v>
      </c>
      <c r="H583" s="67">
        <v>0.015</v>
      </c>
      <c r="I583" s="60">
        <v>0.114</v>
      </c>
      <c r="J583" s="113">
        <v>0</v>
      </c>
      <c r="K583" s="113">
        <v>0.114</v>
      </c>
      <c r="L583" s="60">
        <f>+K583-((K583*0.4996*0.125)+(K583*(1-0.4996)*0.26))</f>
        <v>0.092048844</v>
      </c>
      <c r="M583" s="60">
        <f t="shared" si="19"/>
        <v>0.092048844</v>
      </c>
      <c r="N583" s="67" t="s">
        <v>251</v>
      </c>
    </row>
    <row r="584" spans="1:14" s="30" customFormat="1" ht="23.25" customHeight="1">
      <c r="A584" s="12" t="s">
        <v>123</v>
      </c>
      <c r="B584" s="12" t="s">
        <v>194</v>
      </c>
      <c r="C584" s="74" t="s">
        <v>364</v>
      </c>
      <c r="D584" s="73" t="s">
        <v>411</v>
      </c>
      <c r="E584" s="65">
        <v>44165</v>
      </c>
      <c r="F584" s="66">
        <v>44166</v>
      </c>
      <c r="G584" s="66">
        <v>44169</v>
      </c>
      <c r="H584" s="67">
        <v>0.015</v>
      </c>
      <c r="I584" s="60">
        <v>0.1168</v>
      </c>
      <c r="J584" s="113">
        <v>0</v>
      </c>
      <c r="K584" s="113">
        <v>0.1168</v>
      </c>
      <c r="L584" s="60">
        <f>+K584-((K584*0.4996*0.125)+(K584*(1-0.4996)*0.26))</f>
        <v>0.0943096928</v>
      </c>
      <c r="M584" s="60">
        <f t="shared" si="19"/>
        <v>0.0943096928</v>
      </c>
      <c r="N584" s="67" t="s">
        <v>251</v>
      </c>
    </row>
    <row r="585" spans="1:14" s="30" customFormat="1" ht="23.25" customHeight="1">
      <c r="A585" s="12" t="s">
        <v>88</v>
      </c>
      <c r="B585" s="12" t="s">
        <v>307</v>
      </c>
      <c r="C585" s="64" t="s">
        <v>420</v>
      </c>
      <c r="D585" s="12" t="s">
        <v>411</v>
      </c>
      <c r="E585" s="65">
        <v>44165</v>
      </c>
      <c r="F585" s="66">
        <v>44166</v>
      </c>
      <c r="G585" s="66">
        <v>44169</v>
      </c>
      <c r="H585" s="67">
        <v>0.015</v>
      </c>
      <c r="I585" s="60">
        <v>0.0062</v>
      </c>
      <c r="J585" s="113">
        <v>0</v>
      </c>
      <c r="K585" s="113">
        <v>0.0062</v>
      </c>
      <c r="L585" s="60">
        <f>+K585-((K585*0.619*0.125)+(K585*(1-0.619)*0.26))</f>
        <v>0.005106103</v>
      </c>
      <c r="M585" s="60">
        <f t="shared" si="19"/>
        <v>0.005106103</v>
      </c>
      <c r="N585" s="67" t="s">
        <v>251</v>
      </c>
    </row>
    <row r="586" spans="1:14" s="30" customFormat="1" ht="23.25" customHeight="1">
      <c r="A586" s="12" t="s">
        <v>181</v>
      </c>
      <c r="B586" s="12" t="s">
        <v>185</v>
      </c>
      <c r="C586" s="69" t="s">
        <v>366</v>
      </c>
      <c r="D586" s="12" t="s">
        <v>411</v>
      </c>
      <c r="E586" s="65">
        <v>44165</v>
      </c>
      <c r="F586" s="66">
        <v>44166</v>
      </c>
      <c r="G586" s="66">
        <v>44169</v>
      </c>
      <c r="H586" s="67">
        <v>0.015</v>
      </c>
      <c r="I586" s="60">
        <v>0.1039</v>
      </c>
      <c r="J586" s="113">
        <v>0</v>
      </c>
      <c r="K586" s="113">
        <v>0.1039</v>
      </c>
      <c r="L586" s="60">
        <f>+K586-((K586*0.619*0.125)+(K586*(1-0.619)*0.26))</f>
        <v>0.0855684035</v>
      </c>
      <c r="M586" s="60">
        <f t="shared" si="19"/>
        <v>0.0855684035</v>
      </c>
      <c r="N586" s="67" t="s">
        <v>251</v>
      </c>
    </row>
    <row r="587" spans="1:14" s="30" customFormat="1" ht="23.25" customHeight="1">
      <c r="A587" s="12" t="s">
        <v>201</v>
      </c>
      <c r="B587" s="12" t="s">
        <v>193</v>
      </c>
      <c r="C587" s="74" t="s">
        <v>367</v>
      </c>
      <c r="D587" s="73" t="s">
        <v>411</v>
      </c>
      <c r="E587" s="65">
        <v>44165</v>
      </c>
      <c r="F587" s="66">
        <v>44166</v>
      </c>
      <c r="G587" s="66">
        <v>44169</v>
      </c>
      <c r="H587" s="67">
        <v>0.015</v>
      </c>
      <c r="I587" s="60">
        <v>0.1009</v>
      </c>
      <c r="J587" s="113">
        <v>0</v>
      </c>
      <c r="K587" s="113">
        <v>0.1009</v>
      </c>
      <c r="L587" s="60">
        <f>+K587-((K587*0.619*0.125)+(K587*(1-0.619)*0.26))</f>
        <v>0.0830977085</v>
      </c>
      <c r="M587" s="60">
        <f t="shared" si="19"/>
        <v>0.0830977085</v>
      </c>
      <c r="N587" s="67" t="s">
        <v>251</v>
      </c>
    </row>
    <row r="588" spans="1:199" s="30" customFormat="1" ht="23.25" customHeight="1">
      <c r="A588" s="12" t="s">
        <v>188</v>
      </c>
      <c r="B588" s="12" t="s">
        <v>309</v>
      </c>
      <c r="C588" s="64" t="s">
        <v>427</v>
      </c>
      <c r="D588" s="12" t="s">
        <v>411</v>
      </c>
      <c r="E588" s="65">
        <v>44165</v>
      </c>
      <c r="F588" s="66">
        <v>44166</v>
      </c>
      <c r="G588" s="66">
        <v>44169</v>
      </c>
      <c r="H588" s="67">
        <v>0.035</v>
      </c>
      <c r="I588" s="60">
        <v>0.0145</v>
      </c>
      <c r="J588" s="113">
        <v>0</v>
      </c>
      <c r="K588" s="113">
        <v>0.0145</v>
      </c>
      <c r="L588" s="60">
        <f>+K588-((K588*0.0000001*0.125)+(K588*(1-0.0000001)*0.26))</f>
        <v>0.01073000019575</v>
      </c>
      <c r="M588" s="60">
        <f t="shared" si="19"/>
        <v>0.01073000019575</v>
      </c>
      <c r="N588" s="67" t="s">
        <v>251</v>
      </c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29"/>
      <c r="EV588" s="29"/>
      <c r="EW588" s="29"/>
      <c r="EX588" s="29"/>
      <c r="EY588" s="29"/>
      <c r="EZ588" s="29"/>
      <c r="FA588" s="29"/>
      <c r="FB588" s="29"/>
      <c r="FC588" s="29"/>
      <c r="FD588" s="29"/>
      <c r="FE588" s="29"/>
      <c r="FF588" s="29"/>
      <c r="FG588" s="29"/>
      <c r="FH588" s="29"/>
      <c r="FI588" s="29"/>
      <c r="FJ588" s="29"/>
      <c r="FK588" s="29"/>
      <c r="FL588" s="29"/>
      <c r="FM588" s="29"/>
      <c r="FN588" s="29"/>
      <c r="FO588" s="29"/>
      <c r="FP588" s="29"/>
      <c r="FQ588" s="29"/>
      <c r="FR588" s="29"/>
      <c r="FS588" s="29"/>
      <c r="FT588" s="29"/>
      <c r="FU588" s="29"/>
      <c r="FV588" s="29"/>
      <c r="FW588" s="29"/>
      <c r="FX588" s="29"/>
      <c r="FY588" s="29"/>
      <c r="FZ588" s="29"/>
      <c r="GA588" s="29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  <c r="GO588" s="29"/>
      <c r="GP588" s="29"/>
      <c r="GQ588" s="29"/>
    </row>
    <row r="589" spans="1:14" s="30" customFormat="1" ht="23.25" customHeight="1">
      <c r="A589" s="12" t="s">
        <v>13</v>
      </c>
      <c r="B589" s="12" t="s">
        <v>187</v>
      </c>
      <c r="C589" s="69" t="s">
        <v>368</v>
      </c>
      <c r="D589" s="12" t="s">
        <v>411</v>
      </c>
      <c r="E589" s="65">
        <v>44165</v>
      </c>
      <c r="F589" s="66">
        <v>44166</v>
      </c>
      <c r="G589" s="66">
        <v>44169</v>
      </c>
      <c r="H589" s="67">
        <v>0.035</v>
      </c>
      <c r="I589" s="60">
        <v>0.2568</v>
      </c>
      <c r="J589" s="113">
        <v>0</v>
      </c>
      <c r="K589" s="113">
        <v>0.2568</v>
      </c>
      <c r="L589" s="60">
        <f>+K589-((K589*0.0000001*0.125)+(K589*(1-0.0000001)*0.26))</f>
        <v>0.19003200346679996</v>
      </c>
      <c r="M589" s="60">
        <f t="shared" si="19"/>
        <v>0.19003200346679996</v>
      </c>
      <c r="N589" s="67" t="s">
        <v>251</v>
      </c>
    </row>
    <row r="590" spans="1:199" s="30" customFormat="1" ht="23.25" customHeight="1">
      <c r="A590" s="12"/>
      <c r="B590" s="12" t="s">
        <v>195</v>
      </c>
      <c r="C590" s="74" t="s">
        <v>369</v>
      </c>
      <c r="D590" s="73" t="s">
        <v>411</v>
      </c>
      <c r="E590" s="65">
        <v>44165</v>
      </c>
      <c r="F590" s="66">
        <v>44166</v>
      </c>
      <c r="G590" s="66">
        <v>44169</v>
      </c>
      <c r="H590" s="67">
        <v>0.035</v>
      </c>
      <c r="I590" s="60">
        <v>0.264</v>
      </c>
      <c r="J590" s="113">
        <v>0</v>
      </c>
      <c r="K590" s="113">
        <v>0.264</v>
      </c>
      <c r="L590" s="60">
        <f>+K590-((K590*0.0000001*0.125)+(K590*(1-0.0000001)*0.26))</f>
        <v>0.19536000356400002</v>
      </c>
      <c r="M590" s="60">
        <f t="shared" si="19"/>
        <v>0.19536000356400002</v>
      </c>
      <c r="N590" s="67" t="s">
        <v>251</v>
      </c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29"/>
      <c r="EV590" s="29"/>
      <c r="EW590" s="29"/>
      <c r="EX590" s="29"/>
      <c r="EY590" s="29"/>
      <c r="EZ590" s="29"/>
      <c r="FA590" s="29"/>
      <c r="FB590" s="29"/>
      <c r="FC590" s="29"/>
      <c r="FD590" s="29"/>
      <c r="FE590" s="29"/>
      <c r="FF590" s="29"/>
      <c r="FG590" s="29"/>
      <c r="FH590" s="29"/>
      <c r="FI590" s="29"/>
      <c r="FJ590" s="29"/>
      <c r="FK590" s="29"/>
      <c r="FL590" s="29"/>
      <c r="FM590" s="29"/>
      <c r="FN590" s="29"/>
      <c r="FO590" s="29"/>
      <c r="FP590" s="29"/>
      <c r="FQ590" s="29"/>
      <c r="FR590" s="29"/>
      <c r="FS590" s="29"/>
      <c r="FT590" s="29"/>
      <c r="FU590" s="29"/>
      <c r="FV590" s="29"/>
      <c r="FW590" s="29"/>
      <c r="FX590" s="29"/>
      <c r="FY590" s="29"/>
      <c r="FZ590" s="29"/>
      <c r="GA590" s="29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  <c r="GO590" s="29"/>
      <c r="GP590" s="29"/>
      <c r="GQ590" s="29"/>
    </row>
    <row r="591" spans="1:14" s="30" customFormat="1" ht="23.25" customHeight="1">
      <c r="A591" s="12" t="s">
        <v>87</v>
      </c>
      <c r="B591" s="12" t="s">
        <v>312</v>
      </c>
      <c r="C591" s="64" t="s">
        <v>428</v>
      </c>
      <c r="D591" s="12" t="s">
        <v>411</v>
      </c>
      <c r="E591" s="65">
        <v>44165</v>
      </c>
      <c r="F591" s="66">
        <v>44166</v>
      </c>
      <c r="G591" s="66">
        <v>44169</v>
      </c>
      <c r="H591" s="67">
        <v>0.05</v>
      </c>
      <c r="I591" s="60">
        <v>0.0211</v>
      </c>
      <c r="J591" s="113">
        <v>0</v>
      </c>
      <c r="K591" s="113">
        <v>0.0211</v>
      </c>
      <c r="L591" s="60">
        <f>+K591-((K591*0.028*0.125)+(K591*(1-0.028)*0.26))</f>
        <v>0.015693758</v>
      </c>
      <c r="M591" s="60">
        <f t="shared" si="19"/>
        <v>0.015693758</v>
      </c>
      <c r="N591" s="67" t="s">
        <v>251</v>
      </c>
    </row>
    <row r="592" spans="1:199" s="30" customFormat="1" ht="23.25" customHeight="1">
      <c r="A592" s="12" t="s">
        <v>196</v>
      </c>
      <c r="B592" s="12" t="s">
        <v>190</v>
      </c>
      <c r="C592" s="69" t="s">
        <v>370</v>
      </c>
      <c r="D592" s="12" t="s">
        <v>411</v>
      </c>
      <c r="E592" s="65">
        <v>44165</v>
      </c>
      <c r="F592" s="66">
        <v>44166</v>
      </c>
      <c r="G592" s="66">
        <v>44169</v>
      </c>
      <c r="H592" s="67">
        <v>0.05</v>
      </c>
      <c r="I592" s="60">
        <v>0.3999</v>
      </c>
      <c r="J592" s="113">
        <v>0</v>
      </c>
      <c r="K592" s="113">
        <v>0.3999</v>
      </c>
      <c r="L592" s="60">
        <f>+K592-((K592*0.028*0.125)+(K592*(1-0.028)*0.26))</f>
        <v>0.297437622</v>
      </c>
      <c r="M592" s="60">
        <f t="shared" si="19"/>
        <v>0.297437622</v>
      </c>
      <c r="N592" s="67" t="s">
        <v>251</v>
      </c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29"/>
      <c r="EV592" s="29"/>
      <c r="EW592" s="29"/>
      <c r="EX592" s="29"/>
      <c r="EY592" s="29"/>
      <c r="EZ592" s="29"/>
      <c r="FA592" s="29"/>
      <c r="FB592" s="29"/>
      <c r="FC592" s="29"/>
      <c r="FD592" s="29"/>
      <c r="FE592" s="29"/>
      <c r="FF592" s="29"/>
      <c r="FG592" s="29"/>
      <c r="FH592" s="29"/>
      <c r="FI592" s="29"/>
      <c r="FJ592" s="29"/>
      <c r="FK592" s="29"/>
      <c r="FL592" s="29"/>
      <c r="FM592" s="29"/>
      <c r="FN592" s="29"/>
      <c r="FO592" s="29"/>
      <c r="FP592" s="29"/>
      <c r="FQ592" s="29"/>
      <c r="FR592" s="29"/>
      <c r="FS592" s="29"/>
      <c r="FT592" s="29"/>
      <c r="FU592" s="29"/>
      <c r="FV592" s="29"/>
      <c r="FW592" s="29"/>
      <c r="FX592" s="29"/>
      <c r="FY592" s="29"/>
      <c r="FZ592" s="29"/>
      <c r="GA592" s="29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  <c r="GO592" s="29"/>
      <c r="GP592" s="29"/>
      <c r="GQ592" s="29"/>
    </row>
    <row r="593" spans="1:199" s="30" customFormat="1" ht="21.75" customHeight="1">
      <c r="A593" s="12"/>
      <c r="B593" s="12" t="s">
        <v>198</v>
      </c>
      <c r="C593" s="74" t="s">
        <v>371</v>
      </c>
      <c r="D593" s="73" t="s">
        <v>411</v>
      </c>
      <c r="E593" s="65">
        <v>44165</v>
      </c>
      <c r="F593" s="66">
        <v>44166</v>
      </c>
      <c r="G593" s="66">
        <v>44169</v>
      </c>
      <c r="H593" s="67">
        <v>0.05</v>
      </c>
      <c r="I593" s="60">
        <v>0.3995</v>
      </c>
      <c r="J593" s="113">
        <v>0</v>
      </c>
      <c r="K593" s="113">
        <v>0.3995</v>
      </c>
      <c r="L593" s="60">
        <f>+K593-((K593*0.028*0.125)+(K593*(1-0.028)*0.26))</f>
        <v>0.29714011</v>
      </c>
      <c r="M593" s="60">
        <f t="shared" si="19"/>
        <v>0.29714011</v>
      </c>
      <c r="N593" s="67" t="s">
        <v>251</v>
      </c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  <c r="EK593" s="29"/>
      <c r="EL593" s="29"/>
      <c r="EM593" s="29"/>
      <c r="EN593" s="29"/>
      <c r="EO593" s="29"/>
      <c r="EP593" s="29"/>
      <c r="EQ593" s="29"/>
      <c r="ER593" s="29"/>
      <c r="ES593" s="29"/>
      <c r="ET593" s="29"/>
      <c r="EU593" s="29"/>
      <c r="EV593" s="29"/>
      <c r="EW593" s="29"/>
      <c r="EX593" s="29"/>
      <c r="EY593" s="29"/>
      <c r="EZ593" s="29"/>
      <c r="FA593" s="29"/>
      <c r="FB593" s="29"/>
      <c r="FC593" s="29"/>
      <c r="FD593" s="29"/>
      <c r="FE593" s="29"/>
      <c r="FF593" s="29"/>
      <c r="FG593" s="29"/>
      <c r="FH593" s="29"/>
      <c r="FI593" s="29"/>
      <c r="FJ593" s="29"/>
      <c r="FK593" s="29"/>
      <c r="FL593" s="29"/>
      <c r="FM593" s="29"/>
      <c r="FN593" s="29"/>
      <c r="FO593" s="29"/>
      <c r="FP593" s="29"/>
      <c r="FQ593" s="29"/>
      <c r="FR593" s="29"/>
      <c r="FS593" s="29"/>
      <c r="FT593" s="29"/>
      <c r="FU593" s="29"/>
      <c r="FV593" s="29"/>
      <c r="FW593" s="29"/>
      <c r="FX593" s="29"/>
      <c r="FY593" s="29"/>
      <c r="FZ593" s="29"/>
      <c r="GA593" s="29"/>
      <c r="GB593" s="29"/>
      <c r="GC593" s="29"/>
      <c r="GD593" s="29"/>
      <c r="GE593" s="29"/>
      <c r="GF593" s="29"/>
      <c r="GG593" s="29"/>
      <c r="GH593" s="29"/>
      <c r="GI593" s="29"/>
      <c r="GJ593" s="29"/>
      <c r="GK593" s="29"/>
      <c r="GL593" s="29"/>
      <c r="GM593" s="29"/>
      <c r="GN593" s="29"/>
      <c r="GO593" s="29"/>
      <c r="GP593" s="29"/>
      <c r="GQ593" s="29"/>
    </row>
    <row r="594" spans="1:14" s="30" customFormat="1" ht="23.25" customHeight="1">
      <c r="A594" s="12" t="s">
        <v>89</v>
      </c>
      <c r="B594" s="12" t="s">
        <v>516</v>
      </c>
      <c r="C594" s="64" t="s">
        <v>518</v>
      </c>
      <c r="D594" s="12" t="s">
        <v>411</v>
      </c>
      <c r="E594" s="65">
        <v>44165</v>
      </c>
      <c r="F594" s="66">
        <v>44166</v>
      </c>
      <c r="G594" s="66">
        <v>44169</v>
      </c>
      <c r="H594" s="70">
        <v>0.02</v>
      </c>
      <c r="I594" s="60">
        <v>0.1357</v>
      </c>
      <c r="J594" s="113">
        <v>0</v>
      </c>
      <c r="K594" s="113">
        <v>0.1357</v>
      </c>
      <c r="L594" s="60">
        <f>+K594-((K594*0.4903*0.125)+(K594*(1-0.4903)*0.26))</f>
        <v>0.10940005084999999</v>
      </c>
      <c r="M594" s="60">
        <f t="shared" si="19"/>
        <v>0.10940005084999999</v>
      </c>
      <c r="N594" s="67" t="s">
        <v>251</v>
      </c>
    </row>
    <row r="595" spans="1:14" s="30" customFormat="1" ht="23.25" customHeight="1">
      <c r="A595" s="12" t="s">
        <v>15</v>
      </c>
      <c r="B595" s="12" t="s">
        <v>517</v>
      </c>
      <c r="C595" s="64" t="s">
        <v>519</v>
      </c>
      <c r="D595" s="12" t="s">
        <v>411</v>
      </c>
      <c r="E595" s="65">
        <v>44165</v>
      </c>
      <c r="F595" s="66">
        <v>44166</v>
      </c>
      <c r="G595" s="66">
        <v>44169</v>
      </c>
      <c r="H595" s="70">
        <v>0.02</v>
      </c>
      <c r="I595" s="60">
        <v>0.1364</v>
      </c>
      <c r="J595" s="113">
        <v>0</v>
      </c>
      <c r="K595" s="113">
        <v>0.1364</v>
      </c>
      <c r="L595" s="60">
        <f>+K595-((K595*0.4903*0.125)+(K595*(1-0.4903)*0.26))</f>
        <v>0.10996438419999999</v>
      </c>
      <c r="M595" s="60">
        <f t="shared" si="19"/>
        <v>0.10996438419999999</v>
      </c>
      <c r="N595" s="67" t="s">
        <v>251</v>
      </c>
    </row>
    <row r="596" spans="1:14" s="30" customFormat="1" ht="23.25" customHeight="1">
      <c r="A596" s="12" t="s">
        <v>14</v>
      </c>
      <c r="B596" s="12" t="s">
        <v>313</v>
      </c>
      <c r="C596" s="64" t="s">
        <v>429</v>
      </c>
      <c r="D596" s="12" t="s">
        <v>411</v>
      </c>
      <c r="E596" s="65">
        <v>44165</v>
      </c>
      <c r="F596" s="66">
        <v>44166</v>
      </c>
      <c r="G596" s="66">
        <v>44169</v>
      </c>
      <c r="H596" s="70">
        <v>0.0225</v>
      </c>
      <c r="I596" s="60">
        <v>0.0093</v>
      </c>
      <c r="J596" s="113">
        <v>0</v>
      </c>
      <c r="K596" s="113">
        <v>0.0093</v>
      </c>
      <c r="L596" s="60">
        <f>+K596-((K596*0.1466*0.125)+(K596*(1-0.1466)*0.26))</f>
        <v>0.0070660563</v>
      </c>
      <c r="M596" s="60">
        <f t="shared" si="19"/>
        <v>0.0070660563</v>
      </c>
      <c r="N596" s="67" t="s">
        <v>251</v>
      </c>
    </row>
    <row r="597" spans="1:199" s="30" customFormat="1" ht="23.25" customHeight="1">
      <c r="A597" s="12" t="s">
        <v>231</v>
      </c>
      <c r="B597" s="12" t="s">
        <v>174</v>
      </c>
      <c r="C597" s="74" t="s">
        <v>382</v>
      </c>
      <c r="D597" s="73" t="s">
        <v>410</v>
      </c>
      <c r="E597" s="65">
        <v>44195</v>
      </c>
      <c r="F597" s="66">
        <v>44196</v>
      </c>
      <c r="G597" s="66">
        <v>44202</v>
      </c>
      <c r="H597" s="67"/>
      <c r="I597" s="60">
        <v>0.021657</v>
      </c>
      <c r="J597" s="113">
        <v>0</v>
      </c>
      <c r="K597" s="113">
        <v>0.02165735</v>
      </c>
      <c r="L597" s="60">
        <f>+K597-((K597*0.0094*0.125)+(K597*(1-0.0094)*0.26))</f>
        <v>0.016053922177149998</v>
      </c>
      <c r="M597" s="60">
        <f t="shared" si="19"/>
        <v>0.016053922177149998</v>
      </c>
      <c r="N597" s="67" t="s">
        <v>247</v>
      </c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29"/>
      <c r="EV597" s="29"/>
      <c r="EW597" s="29"/>
      <c r="EX597" s="29"/>
      <c r="EY597" s="29"/>
      <c r="EZ597" s="29"/>
      <c r="FA597" s="29"/>
      <c r="FB597" s="29"/>
      <c r="FC597" s="29"/>
      <c r="FD597" s="29"/>
      <c r="FE597" s="29"/>
      <c r="FF597" s="29"/>
      <c r="FG597" s="29"/>
      <c r="FH597" s="29"/>
      <c r="FI597" s="29"/>
      <c r="FJ597" s="29"/>
      <c r="FK597" s="29"/>
      <c r="FL597" s="29"/>
      <c r="FM597" s="29"/>
      <c r="FN597" s="29"/>
      <c r="FO597" s="29"/>
      <c r="FP597" s="29"/>
      <c r="FQ597" s="29"/>
      <c r="FR597" s="29"/>
      <c r="FS597" s="29"/>
      <c r="FT597" s="29"/>
      <c r="FU597" s="29"/>
      <c r="FV597" s="29"/>
      <c r="FW597" s="29"/>
      <c r="FX597" s="29"/>
      <c r="FY597" s="29"/>
      <c r="FZ597" s="29"/>
      <c r="GA597" s="29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  <c r="GO597" s="29"/>
      <c r="GP597" s="29"/>
      <c r="GQ597" s="29"/>
    </row>
    <row r="598" spans="1:199" s="30" customFormat="1" ht="23.25" customHeight="1">
      <c r="A598" s="12" t="s">
        <v>91</v>
      </c>
      <c r="B598" s="12" t="s">
        <v>176</v>
      </c>
      <c r="C598" s="74" t="s">
        <v>397</v>
      </c>
      <c r="D598" s="73" t="s">
        <v>410</v>
      </c>
      <c r="E598" s="65">
        <v>44195</v>
      </c>
      <c r="F598" s="66">
        <v>44196</v>
      </c>
      <c r="G598" s="66">
        <v>44202</v>
      </c>
      <c r="H598" s="67"/>
      <c r="I598" s="60">
        <v>0.035163</v>
      </c>
      <c r="J598" s="113">
        <v>0</v>
      </c>
      <c r="K598" s="113">
        <v>0.03516328</v>
      </c>
      <c r="L598" s="60">
        <f>+K598-((K598*0.1243*0.125)+(K598*(1-0.1243)*0.26))</f>
        <v>0.02661088462004</v>
      </c>
      <c r="M598" s="60">
        <f t="shared" si="19"/>
        <v>0.02661088462004</v>
      </c>
      <c r="N598" s="67" t="s">
        <v>247</v>
      </c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  <c r="EK598" s="29"/>
      <c r="EL598" s="29"/>
      <c r="EM598" s="29"/>
      <c r="EN598" s="29"/>
      <c r="EO598" s="29"/>
      <c r="EP598" s="29"/>
      <c r="EQ598" s="29"/>
      <c r="ER598" s="29"/>
      <c r="ES598" s="29"/>
      <c r="ET598" s="29"/>
      <c r="EU598" s="29"/>
      <c r="EV598" s="29"/>
      <c r="EW598" s="29"/>
      <c r="EX598" s="29"/>
      <c r="EY598" s="29"/>
      <c r="EZ598" s="29"/>
      <c r="FA598" s="29"/>
      <c r="FB598" s="29"/>
      <c r="FC598" s="29"/>
      <c r="FD598" s="29"/>
      <c r="FE598" s="29"/>
      <c r="FF598" s="29"/>
      <c r="FG598" s="29"/>
      <c r="FH598" s="29"/>
      <c r="FI598" s="29"/>
      <c r="FJ598" s="29"/>
      <c r="FK598" s="29"/>
      <c r="FL598" s="29"/>
      <c r="FM598" s="29"/>
      <c r="FN598" s="29"/>
      <c r="FO598" s="29"/>
      <c r="FP598" s="29"/>
      <c r="FQ598" s="29"/>
      <c r="FR598" s="29"/>
      <c r="FS598" s="29"/>
      <c r="FT598" s="29"/>
      <c r="FU598" s="29"/>
      <c r="FV598" s="29"/>
      <c r="FW598" s="29"/>
      <c r="FX598" s="29"/>
      <c r="FY598" s="29"/>
      <c r="FZ598" s="29"/>
      <c r="GA598" s="29"/>
      <c r="GB598" s="29"/>
      <c r="GC598" s="29"/>
      <c r="GD598" s="29"/>
      <c r="GE598" s="29"/>
      <c r="GF598" s="29"/>
      <c r="GG598" s="29"/>
      <c r="GH598" s="29"/>
      <c r="GI598" s="29"/>
      <c r="GJ598" s="29"/>
      <c r="GK598" s="29"/>
      <c r="GL598" s="29"/>
      <c r="GM598" s="29"/>
      <c r="GN598" s="29"/>
      <c r="GO598" s="29"/>
      <c r="GP598" s="168"/>
      <c r="GQ598" s="168"/>
    </row>
    <row r="599" spans="1:14" s="30" customFormat="1" ht="23.25" customHeight="1">
      <c r="A599" s="12" t="s">
        <v>229</v>
      </c>
      <c r="B599" s="12" t="s">
        <v>175</v>
      </c>
      <c r="C599" s="74" t="s">
        <v>467</v>
      </c>
      <c r="D599" s="73" t="s">
        <v>410</v>
      </c>
      <c r="E599" s="65">
        <v>44195</v>
      </c>
      <c r="F599" s="66">
        <v>44196</v>
      </c>
      <c r="G599" s="66">
        <v>44202</v>
      </c>
      <c r="H599" s="67"/>
      <c r="I599" s="60">
        <v>0.044358</v>
      </c>
      <c r="J599" s="113">
        <v>0</v>
      </c>
      <c r="K599" s="113">
        <v>0.04435811</v>
      </c>
      <c r="L599" s="60">
        <f>+K599-((K599*0.127*0.125)+(K599*(1-0.127)*0.26))</f>
        <v>0.03358552119595</v>
      </c>
      <c r="M599" s="60">
        <f t="shared" si="19"/>
        <v>0.03358552119595</v>
      </c>
      <c r="N599" s="67" t="s">
        <v>247</v>
      </c>
    </row>
    <row r="600" spans="1:199" s="30" customFormat="1" ht="23.25" customHeight="1">
      <c r="A600" s="12" t="s">
        <v>90</v>
      </c>
      <c r="B600" s="12" t="s">
        <v>298</v>
      </c>
      <c r="C600" s="64" t="s">
        <v>403</v>
      </c>
      <c r="D600" s="12" t="s">
        <v>410</v>
      </c>
      <c r="E600" s="65">
        <v>44196</v>
      </c>
      <c r="F600" s="66">
        <v>44200</v>
      </c>
      <c r="G600" s="66">
        <v>44203</v>
      </c>
      <c r="H600" s="67">
        <v>0.045</v>
      </c>
      <c r="I600" s="60">
        <v>0.0562</v>
      </c>
      <c r="J600" s="113">
        <v>0.0034844559731587363</v>
      </c>
      <c r="K600" s="113">
        <v>0.05271554402684126</v>
      </c>
      <c r="L600" s="60">
        <f>+K600-((K600*0.4755*0.125)+(K600*(1-0.4755)*0.26))</f>
        <v>0.042393445139805544</v>
      </c>
      <c r="M600" s="60">
        <f t="shared" si="19"/>
        <v>0.04587790111296428</v>
      </c>
      <c r="N600" s="67" t="s">
        <v>248</v>
      </c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  <c r="EK600" s="29"/>
      <c r="EL600" s="29"/>
      <c r="EM600" s="29"/>
      <c r="EN600" s="29"/>
      <c r="EO600" s="29"/>
      <c r="EP600" s="29"/>
      <c r="EQ600" s="29"/>
      <c r="ER600" s="29"/>
      <c r="ES600" s="29"/>
      <c r="ET600" s="29"/>
      <c r="EU600" s="29"/>
      <c r="EV600" s="29"/>
      <c r="EW600" s="29"/>
      <c r="EX600" s="29"/>
      <c r="EY600" s="29"/>
      <c r="EZ600" s="29"/>
      <c r="FA600" s="29"/>
      <c r="FB600" s="29"/>
      <c r="FC600" s="29"/>
      <c r="FD600" s="29"/>
      <c r="FE600" s="29"/>
      <c r="FF600" s="29"/>
      <c r="FG600" s="29"/>
      <c r="FH600" s="29"/>
      <c r="FI600" s="29"/>
      <c r="FJ600" s="29"/>
      <c r="FK600" s="29"/>
      <c r="FL600" s="29"/>
      <c r="FM600" s="29"/>
      <c r="FN600" s="29"/>
      <c r="FO600" s="29"/>
      <c r="FP600" s="29"/>
      <c r="FQ600" s="29"/>
      <c r="FR600" s="29"/>
      <c r="FS600" s="29"/>
      <c r="FT600" s="29"/>
      <c r="FU600" s="29"/>
      <c r="FV600" s="29"/>
      <c r="FW600" s="29"/>
      <c r="FX600" s="29"/>
      <c r="FY600" s="29"/>
      <c r="FZ600" s="29"/>
      <c r="GA600" s="29"/>
      <c r="GB600" s="29"/>
      <c r="GC600" s="29"/>
      <c r="GD600" s="29"/>
      <c r="GE600" s="29"/>
      <c r="GF600" s="29"/>
      <c r="GG600" s="29"/>
      <c r="GH600" s="29"/>
      <c r="GI600" s="29"/>
      <c r="GJ600" s="29"/>
      <c r="GK600" s="29"/>
      <c r="GL600" s="29"/>
      <c r="GM600" s="29"/>
      <c r="GN600" s="29"/>
      <c r="GO600" s="29"/>
      <c r="GP600" s="168"/>
      <c r="GQ600" s="168"/>
    </row>
    <row r="601" spans="1:199" s="30" customFormat="1" ht="23.25" customHeight="1">
      <c r="A601" s="12" t="s">
        <v>17</v>
      </c>
      <c r="B601" s="12" t="s">
        <v>181</v>
      </c>
      <c r="C601" s="69" t="s">
        <v>335</v>
      </c>
      <c r="D601" s="12" t="s">
        <v>410</v>
      </c>
      <c r="E601" s="65">
        <v>44196</v>
      </c>
      <c r="F601" s="66">
        <v>44200</v>
      </c>
      <c r="G601" s="66">
        <v>44203</v>
      </c>
      <c r="H601" s="67">
        <v>0.045</v>
      </c>
      <c r="I601" s="60">
        <v>1.0031</v>
      </c>
      <c r="J601" s="113">
        <v>0.05391301753134046</v>
      </c>
      <c r="K601" s="113">
        <v>0.9491869824686596</v>
      </c>
      <c r="L601" s="60">
        <f>+K601-((K601*0.4755*0.125)+(K601*(1-0.4755)*0.26))</f>
        <v>0.7633290523989276</v>
      </c>
      <c r="M601" s="60">
        <f t="shared" si="19"/>
        <v>0.817242069930268</v>
      </c>
      <c r="N601" s="67" t="s">
        <v>248</v>
      </c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  <c r="EK601" s="29"/>
      <c r="EL601" s="29"/>
      <c r="EM601" s="29"/>
      <c r="EN601" s="29"/>
      <c r="EO601" s="29"/>
      <c r="EP601" s="29"/>
      <c r="EQ601" s="29"/>
      <c r="ER601" s="29"/>
      <c r="ES601" s="29"/>
      <c r="ET601" s="29"/>
      <c r="EU601" s="29"/>
      <c r="EV601" s="29"/>
      <c r="EW601" s="29"/>
      <c r="EX601" s="29"/>
      <c r="EY601" s="29"/>
      <c r="EZ601" s="29"/>
      <c r="FA601" s="29"/>
      <c r="FB601" s="29"/>
      <c r="FC601" s="29"/>
      <c r="FD601" s="29"/>
      <c r="FE601" s="29"/>
      <c r="FF601" s="29"/>
      <c r="FG601" s="29"/>
      <c r="FH601" s="29"/>
      <c r="FI601" s="29"/>
      <c r="FJ601" s="29"/>
      <c r="FK601" s="29"/>
      <c r="FL601" s="29"/>
      <c r="FM601" s="29"/>
      <c r="FN601" s="29"/>
      <c r="FO601" s="29"/>
      <c r="FP601" s="29"/>
      <c r="FQ601" s="29"/>
      <c r="FR601" s="29"/>
      <c r="FS601" s="29"/>
      <c r="FT601" s="29"/>
      <c r="FU601" s="29"/>
      <c r="FV601" s="29"/>
      <c r="FW601" s="29"/>
      <c r="FX601" s="29"/>
      <c r="FY601" s="29"/>
      <c r="FZ601" s="29"/>
      <c r="GA601" s="29"/>
      <c r="GB601" s="29"/>
      <c r="GC601" s="29"/>
      <c r="GD601" s="29"/>
      <c r="GE601" s="29"/>
      <c r="GF601" s="29"/>
      <c r="GG601" s="29"/>
      <c r="GH601" s="29"/>
      <c r="GI601" s="29"/>
      <c r="GJ601" s="29"/>
      <c r="GK601" s="29"/>
      <c r="GL601" s="29"/>
      <c r="GM601" s="29"/>
      <c r="GN601" s="29"/>
      <c r="GO601" s="29"/>
      <c r="GP601" s="168"/>
      <c r="GQ601" s="168"/>
    </row>
    <row r="602" spans="1:14" s="30" customFormat="1" ht="21.75" customHeight="1">
      <c r="A602" s="12"/>
      <c r="B602" s="12" t="s">
        <v>201</v>
      </c>
      <c r="C602" s="74" t="s">
        <v>336</v>
      </c>
      <c r="D602" s="12" t="s">
        <v>410</v>
      </c>
      <c r="E602" s="65">
        <v>44196</v>
      </c>
      <c r="F602" s="66">
        <v>44200</v>
      </c>
      <c r="G602" s="66">
        <v>44203</v>
      </c>
      <c r="H602" s="67">
        <v>0.045</v>
      </c>
      <c r="I602" s="60">
        <v>1.014</v>
      </c>
      <c r="J602" s="113">
        <v>0.054605566635260686</v>
      </c>
      <c r="K602" s="113">
        <v>0.9593944333647393</v>
      </c>
      <c r="L602" s="60">
        <f>+K602-((K602*0.4755*0.125)+(K602*(1-0.4755)*0.26))</f>
        <v>0.7715378078536731</v>
      </c>
      <c r="M602" s="60">
        <f t="shared" si="19"/>
        <v>0.8261433744889338</v>
      </c>
      <c r="N602" s="67" t="s">
        <v>248</v>
      </c>
    </row>
    <row r="603" spans="1:199" s="30" customFormat="1" ht="23.25" customHeight="1">
      <c r="A603" s="12"/>
      <c r="B603" s="12" t="s">
        <v>138</v>
      </c>
      <c r="C603" s="64" t="s">
        <v>337</v>
      </c>
      <c r="D603" s="12" t="s">
        <v>410</v>
      </c>
      <c r="E603" s="65">
        <v>44196</v>
      </c>
      <c r="F603" s="66">
        <v>44200</v>
      </c>
      <c r="G603" s="66">
        <v>44203</v>
      </c>
      <c r="H603" s="70">
        <v>0.05</v>
      </c>
      <c r="I603" s="60">
        <v>0.0788</v>
      </c>
      <c r="J603" s="113">
        <v>0</v>
      </c>
      <c r="K603" s="113">
        <v>0.0788</v>
      </c>
      <c r="L603" s="60">
        <f>+K603-((K603*0.3017*0.125)+(K603*(1-0.089)*0.26))</f>
        <v>0.05716368699999999</v>
      </c>
      <c r="M603" s="60">
        <f t="shared" si="19"/>
        <v>0.05716368699999999</v>
      </c>
      <c r="N603" s="67" t="s">
        <v>248</v>
      </c>
      <c r="GP603" s="94"/>
      <c r="GQ603" s="94"/>
    </row>
    <row r="604" spans="1:199" s="30" customFormat="1" ht="23.25" customHeight="1">
      <c r="A604" s="12" t="s">
        <v>92</v>
      </c>
      <c r="B604" s="12" t="s">
        <v>160</v>
      </c>
      <c r="C604" s="69" t="s">
        <v>338</v>
      </c>
      <c r="D604" s="12" t="s">
        <v>410</v>
      </c>
      <c r="E604" s="65">
        <v>44196</v>
      </c>
      <c r="F604" s="66">
        <v>44200</v>
      </c>
      <c r="G604" s="66">
        <v>44203</v>
      </c>
      <c r="H604" s="70">
        <v>0.05</v>
      </c>
      <c r="I604" s="60">
        <v>0.0784</v>
      </c>
      <c r="J604" s="113">
        <v>0</v>
      </c>
      <c r="K604" s="113">
        <v>0.0784</v>
      </c>
      <c r="L604" s="60">
        <f>+K604-((K604*0.3017*0.125)+(K604*(1-0.089)*0.26))</f>
        <v>0.056873516</v>
      </c>
      <c r="M604" s="60">
        <f t="shared" si="19"/>
        <v>0.056873516</v>
      </c>
      <c r="N604" s="67" t="s">
        <v>248</v>
      </c>
      <c r="GP604" s="94"/>
      <c r="GQ604" s="94"/>
    </row>
    <row r="605" spans="1:199" s="30" customFormat="1" ht="23.25" customHeight="1">
      <c r="A605" s="12" t="s">
        <v>94</v>
      </c>
      <c r="B605" s="12" t="s">
        <v>300</v>
      </c>
      <c r="C605" s="64" t="s">
        <v>404</v>
      </c>
      <c r="D605" s="12" t="s">
        <v>410</v>
      </c>
      <c r="E605" s="65">
        <v>44196</v>
      </c>
      <c r="F605" s="66">
        <v>44200</v>
      </c>
      <c r="G605" s="66">
        <v>44203</v>
      </c>
      <c r="H605" s="70">
        <v>0.05</v>
      </c>
      <c r="I605" s="60">
        <v>0.0615</v>
      </c>
      <c r="J605" s="113">
        <v>0</v>
      </c>
      <c r="K605" s="113">
        <v>0.0615</v>
      </c>
      <c r="L605" s="60">
        <f>+K605-((K605*0.3017*0.125)+(K605*(1-0.089)*0.26))</f>
        <v>0.04461379125</v>
      </c>
      <c r="M605" s="60">
        <f aca="true" t="shared" si="21" ref="M605:M636">J605+L605</f>
        <v>0.04461379125</v>
      </c>
      <c r="N605" s="67" t="s">
        <v>248</v>
      </c>
      <c r="GP605" s="94"/>
      <c r="GQ605" s="94"/>
    </row>
    <row r="606" spans="1:252" s="30" customFormat="1" ht="23.25" customHeight="1">
      <c r="A606" s="12" t="s">
        <v>192</v>
      </c>
      <c r="B606" s="12" t="s">
        <v>310</v>
      </c>
      <c r="C606" s="64" t="s">
        <v>424</v>
      </c>
      <c r="D606" s="12" t="s">
        <v>411</v>
      </c>
      <c r="E606" s="65">
        <v>44196</v>
      </c>
      <c r="F606" s="66">
        <v>44200</v>
      </c>
      <c r="G606" s="66">
        <v>44203</v>
      </c>
      <c r="H606" s="70">
        <v>0.05</v>
      </c>
      <c r="I606" s="113">
        <v>0.0209</v>
      </c>
      <c r="J606" s="113">
        <v>0</v>
      </c>
      <c r="K606" s="113">
        <v>0.0209</v>
      </c>
      <c r="L606" s="60">
        <f>+K606-((K606*0.03783*0.125)+(K606*(1-0.089)*0.26))</f>
        <v>0.015850795124999997</v>
      </c>
      <c r="M606" s="60">
        <f t="shared" si="21"/>
        <v>0.015850795124999997</v>
      </c>
      <c r="N606" s="67" t="s">
        <v>251</v>
      </c>
      <c r="IR606" s="94"/>
    </row>
    <row r="607" spans="1:252" s="30" customFormat="1" ht="23.25" customHeight="1">
      <c r="A607" s="12" t="s">
        <v>93</v>
      </c>
      <c r="B607" s="12" t="s">
        <v>188</v>
      </c>
      <c r="C607" s="69" t="s">
        <v>339</v>
      </c>
      <c r="D607" s="12" t="s">
        <v>411</v>
      </c>
      <c r="E607" s="65">
        <v>44196</v>
      </c>
      <c r="F607" s="66">
        <v>44200</v>
      </c>
      <c r="G607" s="66">
        <v>44203</v>
      </c>
      <c r="H607" s="70">
        <v>0.05</v>
      </c>
      <c r="I607" s="113">
        <v>0.3655</v>
      </c>
      <c r="J607" s="113">
        <v>0</v>
      </c>
      <c r="K607" s="113">
        <v>0.3655</v>
      </c>
      <c r="L607" s="60">
        <f>+K607-((K607*0.03783*0.125)+(K607*(1-0.089)*0.26))</f>
        <v>0.277199311875</v>
      </c>
      <c r="M607" s="60">
        <f t="shared" si="21"/>
        <v>0.277199311875</v>
      </c>
      <c r="N607" s="67" t="s">
        <v>251</v>
      </c>
      <c r="GP607" s="94"/>
      <c r="GQ607" s="94"/>
      <c r="IR607" s="94"/>
    </row>
    <row r="608" spans="1:252" s="30" customFormat="1" ht="23.25" customHeight="1">
      <c r="A608" s="12" t="s">
        <v>184</v>
      </c>
      <c r="B608" s="12" t="s">
        <v>196</v>
      </c>
      <c r="C608" s="74" t="s">
        <v>340</v>
      </c>
      <c r="D608" s="73" t="s">
        <v>411</v>
      </c>
      <c r="E608" s="65">
        <v>44196</v>
      </c>
      <c r="F608" s="66">
        <v>44200</v>
      </c>
      <c r="G608" s="66">
        <v>44203</v>
      </c>
      <c r="H608" s="70">
        <v>0.05</v>
      </c>
      <c r="I608" s="113">
        <v>0.3778</v>
      </c>
      <c r="J608" s="113">
        <v>0</v>
      </c>
      <c r="K608" s="113">
        <v>0.3778</v>
      </c>
      <c r="L608" s="60">
        <f>+K608-((K608*0.03783*0.125)+(K608*(1-0.089)*0.26))</f>
        <v>0.28652777025</v>
      </c>
      <c r="M608" s="60">
        <f t="shared" si="21"/>
        <v>0.28652777025</v>
      </c>
      <c r="N608" s="67" t="s">
        <v>251</v>
      </c>
      <c r="IR608" s="94"/>
    </row>
    <row r="609" spans="1:14" s="30" customFormat="1" ht="23.25" customHeight="1">
      <c r="A609" s="12"/>
      <c r="B609" s="12" t="s">
        <v>142</v>
      </c>
      <c r="C609" s="64" t="s">
        <v>341</v>
      </c>
      <c r="D609" s="12" t="s">
        <v>410</v>
      </c>
      <c r="E609" s="65">
        <v>44196</v>
      </c>
      <c r="F609" s="66">
        <v>44200</v>
      </c>
      <c r="G609" s="66">
        <v>44203</v>
      </c>
      <c r="H609" s="67">
        <v>0.0525</v>
      </c>
      <c r="I609" s="60">
        <v>0.0418</v>
      </c>
      <c r="J609" s="113">
        <v>0</v>
      </c>
      <c r="K609" s="113">
        <v>0.0839</v>
      </c>
      <c r="L609" s="60">
        <f>+K609-((K609*0.0016*0.125)+(K609*(1-0.0016)*0.26))</f>
        <v>0.0621041224</v>
      </c>
      <c r="M609" s="60">
        <f t="shared" si="21"/>
        <v>0.0621041224</v>
      </c>
      <c r="N609" s="67" t="s">
        <v>248</v>
      </c>
    </row>
    <row r="610" spans="1:14" s="30" customFormat="1" ht="23.25" customHeight="1">
      <c r="A610" s="12" t="s">
        <v>189</v>
      </c>
      <c r="B610" s="12" t="s">
        <v>159</v>
      </c>
      <c r="C610" s="69" t="s">
        <v>342</v>
      </c>
      <c r="D610" s="12" t="s">
        <v>410</v>
      </c>
      <c r="E610" s="65">
        <v>44196</v>
      </c>
      <c r="F610" s="66">
        <v>44200</v>
      </c>
      <c r="G610" s="66">
        <v>44203</v>
      </c>
      <c r="H610" s="67">
        <v>0.0525</v>
      </c>
      <c r="I610" s="60">
        <v>0.0417</v>
      </c>
      <c r="J610" s="113">
        <v>0</v>
      </c>
      <c r="K610" s="113">
        <v>0.0836</v>
      </c>
      <c r="L610" s="60">
        <f>+K610-((K610*0.0016*0.125)+(K610*(1-0.0016)*0.26))</f>
        <v>0.0618820576</v>
      </c>
      <c r="M610" s="60">
        <f t="shared" si="21"/>
        <v>0.0618820576</v>
      </c>
      <c r="N610" s="67" t="s">
        <v>248</v>
      </c>
    </row>
    <row r="611" spans="1:199" s="30" customFormat="1" ht="23.25" customHeight="1">
      <c r="A611" s="12" t="s">
        <v>197</v>
      </c>
      <c r="B611" s="12" t="s">
        <v>510</v>
      </c>
      <c r="C611" s="69" t="s">
        <v>511</v>
      </c>
      <c r="D611" s="12" t="s">
        <v>410</v>
      </c>
      <c r="E611" s="65">
        <v>44196</v>
      </c>
      <c r="F611" s="66">
        <v>44200</v>
      </c>
      <c r="G611" s="66">
        <v>44203</v>
      </c>
      <c r="H611" s="67">
        <v>0.0525</v>
      </c>
      <c r="I611" s="60">
        <v>0.0517</v>
      </c>
      <c r="J611" s="113">
        <v>0</v>
      </c>
      <c r="K611" s="113">
        <v>0.0658</v>
      </c>
      <c r="L611" s="60">
        <f>+K611-((K611*0.0016*0.125)+(K611*(1-0.0016)*0.26))</f>
        <v>0.048706212799999996</v>
      </c>
      <c r="M611" s="60">
        <f t="shared" si="21"/>
        <v>0.048706212799999996</v>
      </c>
      <c r="N611" s="73" t="s">
        <v>248</v>
      </c>
      <c r="GP611" s="94"/>
      <c r="GQ611" s="94"/>
    </row>
    <row r="612" spans="1:199" s="30" customFormat="1" ht="23.25" customHeight="1">
      <c r="A612" s="12"/>
      <c r="B612" s="12" t="s">
        <v>139</v>
      </c>
      <c r="C612" s="64" t="s">
        <v>344</v>
      </c>
      <c r="D612" s="12" t="s">
        <v>410</v>
      </c>
      <c r="E612" s="65">
        <v>44196</v>
      </c>
      <c r="F612" s="66">
        <v>44200</v>
      </c>
      <c r="G612" s="66">
        <v>44203</v>
      </c>
      <c r="H612" s="67">
        <v>0.035</v>
      </c>
      <c r="I612" s="60">
        <v>0.0567</v>
      </c>
      <c r="J612" s="113">
        <v>0</v>
      </c>
      <c r="K612" s="113">
        <v>0.0418</v>
      </c>
      <c r="L612" s="60">
        <f>+K612-((K612*0.7742*0.125)+(K612*(1-0.7742)*0.26))</f>
        <v>0.035300810599999996</v>
      </c>
      <c r="M612" s="60">
        <f t="shared" si="21"/>
        <v>0.035300810599999996</v>
      </c>
      <c r="N612" s="67" t="s">
        <v>248</v>
      </c>
      <c r="GP612" s="94"/>
      <c r="GQ612" s="94"/>
    </row>
    <row r="613" spans="1:199" s="30" customFormat="1" ht="23.25" customHeight="1">
      <c r="A613" s="12" t="s">
        <v>96</v>
      </c>
      <c r="B613" s="12" t="s">
        <v>161</v>
      </c>
      <c r="C613" s="69" t="s">
        <v>345</v>
      </c>
      <c r="D613" s="12" t="s">
        <v>410</v>
      </c>
      <c r="E613" s="65">
        <v>44196</v>
      </c>
      <c r="F613" s="66">
        <v>44200</v>
      </c>
      <c r="G613" s="66">
        <v>44203</v>
      </c>
      <c r="H613" s="67">
        <v>0.035</v>
      </c>
      <c r="I613" s="60">
        <v>0.0565</v>
      </c>
      <c r="J613" s="113">
        <v>0</v>
      </c>
      <c r="K613" s="113">
        <v>0.0417</v>
      </c>
      <c r="L613" s="60">
        <f>+K613-((K613*0.7742*0.125)+(K613*(1-0.7742)*0.26))</f>
        <v>0.0352163589</v>
      </c>
      <c r="M613" s="60">
        <f t="shared" si="21"/>
        <v>0.0352163589</v>
      </c>
      <c r="N613" s="67" t="s">
        <v>248</v>
      </c>
      <c r="GP613" s="94"/>
      <c r="GQ613" s="94"/>
    </row>
    <row r="614" spans="1:199" s="30" customFormat="1" ht="23.25" customHeight="1">
      <c r="A614" s="12" t="s">
        <v>9</v>
      </c>
      <c r="B614" s="12" t="s">
        <v>191</v>
      </c>
      <c r="C614" s="69" t="s">
        <v>346</v>
      </c>
      <c r="D614" s="12" t="s">
        <v>411</v>
      </c>
      <c r="E614" s="65">
        <v>44196</v>
      </c>
      <c r="F614" s="66">
        <v>44200</v>
      </c>
      <c r="G614" s="66">
        <v>44203</v>
      </c>
      <c r="H614" s="67">
        <v>0.035</v>
      </c>
      <c r="I614" s="113">
        <v>0.0147</v>
      </c>
      <c r="J614" s="113">
        <v>0</v>
      </c>
      <c r="K614" s="113">
        <v>0.0147</v>
      </c>
      <c r="L614" s="60">
        <f>+K614-((K614*0.7742*0.125)+(K614*(1-0.7742)*0.26))</f>
        <v>0.0124143999</v>
      </c>
      <c r="M614" s="60">
        <f t="shared" si="21"/>
        <v>0.0124143999</v>
      </c>
      <c r="N614" s="67" t="s">
        <v>251</v>
      </c>
      <c r="GP614" s="94"/>
      <c r="GQ614" s="94"/>
    </row>
    <row r="615" spans="1:199" s="30" customFormat="1" ht="23.25" customHeight="1">
      <c r="A615" s="12" t="s">
        <v>97</v>
      </c>
      <c r="B615" s="12" t="s">
        <v>199</v>
      </c>
      <c r="C615" s="74" t="s">
        <v>347</v>
      </c>
      <c r="D615" s="73" t="s">
        <v>411</v>
      </c>
      <c r="E615" s="65">
        <v>44196</v>
      </c>
      <c r="F615" s="66">
        <v>44200</v>
      </c>
      <c r="G615" s="66">
        <v>44203</v>
      </c>
      <c r="H615" s="67">
        <v>0.035</v>
      </c>
      <c r="I615" s="113">
        <v>0.0147</v>
      </c>
      <c r="J615" s="113">
        <v>0</v>
      </c>
      <c r="K615" s="113">
        <v>0.0147</v>
      </c>
      <c r="L615" s="60">
        <f>+K615-((K615*0.7742*0.125)+(K615*(1-0.7742)*0.26))</f>
        <v>0.0124143999</v>
      </c>
      <c r="M615" s="60">
        <f t="shared" si="21"/>
        <v>0.0124143999</v>
      </c>
      <c r="N615" s="67" t="s">
        <v>251</v>
      </c>
      <c r="GP615" s="94"/>
      <c r="GQ615" s="94"/>
    </row>
    <row r="616" spans="1:199" s="30" customFormat="1" ht="23.25" customHeight="1">
      <c r="A616" s="12" t="s">
        <v>186</v>
      </c>
      <c r="B616" s="12" t="s">
        <v>141</v>
      </c>
      <c r="C616" s="64" t="s">
        <v>348</v>
      </c>
      <c r="D616" s="12" t="s">
        <v>410</v>
      </c>
      <c r="E616" s="65">
        <v>44196</v>
      </c>
      <c r="F616" s="66">
        <v>44200</v>
      </c>
      <c r="G616" s="66">
        <v>44203</v>
      </c>
      <c r="H616" s="67">
        <v>0.0425</v>
      </c>
      <c r="I616" s="60">
        <v>0.0051</v>
      </c>
      <c r="J616" s="113">
        <v>0</v>
      </c>
      <c r="K616" s="113">
        <v>0.0517</v>
      </c>
      <c r="L616" s="60">
        <f>+K616-((K616*0.082*0.125)+(K616*(1-0.082)*0.26))</f>
        <v>0.038830319</v>
      </c>
      <c r="M616" s="60">
        <f t="shared" si="21"/>
        <v>0.038830319</v>
      </c>
      <c r="N616" s="67" t="s">
        <v>248</v>
      </c>
      <c r="GP616" s="94"/>
      <c r="GQ616" s="94"/>
    </row>
    <row r="617" spans="1:199" s="30" customFormat="1" ht="23.25" customHeight="1">
      <c r="A617" s="12" t="s">
        <v>194</v>
      </c>
      <c r="B617" s="12" t="s">
        <v>140</v>
      </c>
      <c r="C617" s="64" t="s">
        <v>349</v>
      </c>
      <c r="D617" s="12" t="s">
        <v>410</v>
      </c>
      <c r="E617" s="65">
        <v>44196</v>
      </c>
      <c r="F617" s="66">
        <v>44200</v>
      </c>
      <c r="G617" s="66">
        <v>44203</v>
      </c>
      <c r="H617" s="67">
        <v>0.0425</v>
      </c>
      <c r="I617" s="60">
        <v>0.0058</v>
      </c>
      <c r="J617" s="113">
        <v>0</v>
      </c>
      <c r="K617" s="113">
        <v>0.0567</v>
      </c>
      <c r="L617" s="60">
        <f>+K617-((K617*0.082*0.125)+(K617*(1-0.082)*0.26))</f>
        <v>0.042585669</v>
      </c>
      <c r="M617" s="60">
        <f t="shared" si="21"/>
        <v>0.042585669</v>
      </c>
      <c r="N617" s="67" t="s">
        <v>248</v>
      </c>
      <c r="GP617" s="94"/>
      <c r="GQ617" s="94"/>
    </row>
    <row r="618" spans="1:199" s="30" customFormat="1" ht="23.25" customHeight="1">
      <c r="A618" s="12" t="s">
        <v>200</v>
      </c>
      <c r="B618" s="12" t="s">
        <v>162</v>
      </c>
      <c r="C618" s="69" t="s">
        <v>350</v>
      </c>
      <c r="D618" s="12" t="s">
        <v>410</v>
      </c>
      <c r="E618" s="65">
        <v>44196</v>
      </c>
      <c r="F618" s="66">
        <v>44200</v>
      </c>
      <c r="G618" s="66">
        <v>44203</v>
      </c>
      <c r="H618" s="67">
        <v>0.0425</v>
      </c>
      <c r="I618" s="60">
        <v>0.0025</v>
      </c>
      <c r="J618" s="113">
        <v>0</v>
      </c>
      <c r="K618" s="113">
        <v>0.0565</v>
      </c>
      <c r="L618" s="60">
        <f>+K618-((K618*0.082*0.125)+(K618*(1-0.082)*0.26))</f>
        <v>0.042435455</v>
      </c>
      <c r="M618" s="60">
        <f t="shared" si="21"/>
        <v>0.042435455</v>
      </c>
      <c r="N618" s="67" t="s">
        <v>248</v>
      </c>
      <c r="GP618" s="94"/>
      <c r="GQ618" s="94"/>
    </row>
    <row r="619" spans="1:14" s="30" customFormat="1" ht="23.25" customHeight="1">
      <c r="A619" s="12"/>
      <c r="B619" s="12" t="s">
        <v>302</v>
      </c>
      <c r="C619" s="64" t="s">
        <v>405</v>
      </c>
      <c r="D619" s="12" t="s">
        <v>410</v>
      </c>
      <c r="E619" s="65">
        <v>44196</v>
      </c>
      <c r="F619" s="66">
        <v>44200</v>
      </c>
      <c r="G619" s="66">
        <v>44203</v>
      </c>
      <c r="H619" s="67">
        <v>0.0425</v>
      </c>
      <c r="I619" s="60">
        <v>0.0313</v>
      </c>
      <c r="J619" s="113">
        <v>0</v>
      </c>
      <c r="K619" s="113">
        <v>0.0538</v>
      </c>
      <c r="L619" s="60">
        <f>+K619-((K619*0.082*0.125)+(K619*(1-0.082)*0.26))</f>
        <v>0.040407566</v>
      </c>
      <c r="M619" s="60">
        <f t="shared" si="21"/>
        <v>0.040407566</v>
      </c>
      <c r="N619" s="67" t="s">
        <v>248</v>
      </c>
    </row>
    <row r="620" spans="1:199" s="30" customFormat="1" ht="23.25" customHeight="1">
      <c r="A620" s="12" t="s">
        <v>185</v>
      </c>
      <c r="B620" s="12" t="s">
        <v>303</v>
      </c>
      <c r="C620" s="64" t="s">
        <v>406</v>
      </c>
      <c r="D620" s="12" t="s">
        <v>410</v>
      </c>
      <c r="E620" s="65">
        <v>44196</v>
      </c>
      <c r="F620" s="66">
        <v>44200</v>
      </c>
      <c r="G620" s="66">
        <v>44203</v>
      </c>
      <c r="H620" s="67">
        <v>0.0425</v>
      </c>
      <c r="I620" s="60">
        <v>0.0295</v>
      </c>
      <c r="J620" s="113">
        <v>0</v>
      </c>
      <c r="K620" s="113">
        <v>0.0532</v>
      </c>
      <c r="L620" s="60">
        <f>+K620-((K620*0.082*0.125)+(K620*(1-0.082)*0.26))</f>
        <v>0.039956924</v>
      </c>
      <c r="M620" s="60">
        <f t="shared" si="21"/>
        <v>0.039956924</v>
      </c>
      <c r="N620" s="67" t="s">
        <v>248</v>
      </c>
      <c r="GP620" s="94"/>
      <c r="GQ620" s="94"/>
    </row>
    <row r="621" spans="1:14" s="30" customFormat="1" ht="23.25" customHeight="1">
      <c r="A621" s="12" t="s">
        <v>193</v>
      </c>
      <c r="B621" s="12" t="s">
        <v>143</v>
      </c>
      <c r="C621" s="64" t="s">
        <v>351</v>
      </c>
      <c r="D621" s="12" t="s">
        <v>410</v>
      </c>
      <c r="E621" s="65">
        <v>44196</v>
      </c>
      <c r="F621" s="66">
        <v>44200</v>
      </c>
      <c r="G621" s="66">
        <v>44203</v>
      </c>
      <c r="H621" s="67">
        <v>0.004</v>
      </c>
      <c r="I621" s="60">
        <v>0.0199</v>
      </c>
      <c r="J621" s="113">
        <v>0</v>
      </c>
      <c r="K621" s="113">
        <v>0.0051</v>
      </c>
      <c r="L621" s="60">
        <f>+K621-((K621*0.5914*0.125)+(K621*(1-0.5914)*0.26))</f>
        <v>0.0041811789000000005</v>
      </c>
      <c r="M621" s="60">
        <f t="shared" si="21"/>
        <v>0.0041811789000000005</v>
      </c>
      <c r="N621" s="67" t="s">
        <v>248</v>
      </c>
    </row>
    <row r="622" spans="1:199" s="30" customFormat="1" ht="23.25" customHeight="1">
      <c r="A622" s="12"/>
      <c r="B622" s="12" t="s">
        <v>145</v>
      </c>
      <c r="C622" s="64" t="s">
        <v>352</v>
      </c>
      <c r="D622" s="12" t="s">
        <v>410</v>
      </c>
      <c r="E622" s="65">
        <v>44196</v>
      </c>
      <c r="F622" s="66">
        <v>44200</v>
      </c>
      <c r="G622" s="66">
        <v>44203</v>
      </c>
      <c r="H622" s="67">
        <v>0.0045</v>
      </c>
      <c r="I622" s="60">
        <v>0.3704</v>
      </c>
      <c r="J622" s="113">
        <v>0</v>
      </c>
      <c r="K622" s="113">
        <v>0.0058</v>
      </c>
      <c r="L622" s="60">
        <f>+K622-((K622*0.0006*0.125)+(K622*(1-0.0006)*0.26))</f>
        <v>0.0042924697999999996</v>
      </c>
      <c r="M622" s="60">
        <f t="shared" si="21"/>
        <v>0.0042924697999999996</v>
      </c>
      <c r="N622" s="67" t="s">
        <v>248</v>
      </c>
      <c r="GP622" s="94"/>
      <c r="GQ622" s="94"/>
    </row>
    <row r="623" spans="1:199" s="30" customFormat="1" ht="23.25" customHeight="1">
      <c r="A623" s="12" t="s">
        <v>187</v>
      </c>
      <c r="B623" s="12" t="s">
        <v>144</v>
      </c>
      <c r="C623" s="64" t="s">
        <v>353</v>
      </c>
      <c r="D623" s="12" t="s">
        <v>410</v>
      </c>
      <c r="E623" s="65">
        <v>44196</v>
      </c>
      <c r="F623" s="66">
        <v>44200</v>
      </c>
      <c r="G623" s="66">
        <v>44203</v>
      </c>
      <c r="H623" s="67">
        <v>0.002</v>
      </c>
      <c r="I623" s="60">
        <v>0.0131</v>
      </c>
      <c r="J623" s="113">
        <v>0</v>
      </c>
      <c r="K623" s="113">
        <v>0.0025</v>
      </c>
      <c r="L623" s="60">
        <f>+K623-((K623*0.9352*0.125)+(K623*(1-0.9352)*0.26))</f>
        <v>0.00216563</v>
      </c>
      <c r="M623" s="60">
        <f t="shared" si="21"/>
        <v>0.00216563</v>
      </c>
      <c r="N623" s="67" t="s">
        <v>248</v>
      </c>
      <c r="GP623" s="94"/>
      <c r="GQ623" s="94"/>
    </row>
    <row r="624" spans="1:199" s="30" customFormat="1" ht="23.25" customHeight="1">
      <c r="A624" s="12" t="s">
        <v>190</v>
      </c>
      <c r="B624" s="12" t="s">
        <v>306</v>
      </c>
      <c r="C624" s="64" t="s">
        <v>430</v>
      </c>
      <c r="D624" s="12" t="s">
        <v>411</v>
      </c>
      <c r="E624" s="65">
        <v>44196</v>
      </c>
      <c r="F624" s="66">
        <v>44200</v>
      </c>
      <c r="G624" s="66">
        <v>44203</v>
      </c>
      <c r="H624" s="67">
        <v>0.02</v>
      </c>
      <c r="I624" s="113">
        <v>0.0084</v>
      </c>
      <c r="J624" s="113">
        <v>0</v>
      </c>
      <c r="K624" s="113">
        <v>0.0084</v>
      </c>
      <c r="L624" s="60">
        <f aca="true" t="shared" si="22" ref="L624:L629">+K624-((K624*0.0000001*0.125)+(K624*(1-0.0000001)*0.26))</f>
        <v>0.0062160001134</v>
      </c>
      <c r="M624" s="60">
        <f t="shared" si="21"/>
        <v>0.0062160001134</v>
      </c>
      <c r="N624" s="67" t="s">
        <v>251</v>
      </c>
      <c r="GP624" s="94"/>
      <c r="GQ624" s="94"/>
    </row>
    <row r="625" spans="1:199" s="30" customFormat="1" ht="23.25" customHeight="1">
      <c r="A625" s="12" t="s">
        <v>195</v>
      </c>
      <c r="B625" s="12" t="s">
        <v>184</v>
      </c>
      <c r="C625" s="69" t="s">
        <v>354</v>
      </c>
      <c r="D625" s="12" t="s">
        <v>411</v>
      </c>
      <c r="E625" s="65">
        <v>44196</v>
      </c>
      <c r="F625" s="66">
        <v>44200</v>
      </c>
      <c r="G625" s="66">
        <v>44203</v>
      </c>
      <c r="H625" s="67">
        <v>0.02</v>
      </c>
      <c r="I625" s="113">
        <v>0.1688</v>
      </c>
      <c r="J625" s="113">
        <v>0</v>
      </c>
      <c r="K625" s="113">
        <v>0.1688</v>
      </c>
      <c r="L625" s="60">
        <f t="shared" si="22"/>
        <v>0.1249120022788</v>
      </c>
      <c r="M625" s="60">
        <f t="shared" si="21"/>
        <v>0.1249120022788</v>
      </c>
      <c r="N625" s="67" t="s">
        <v>251</v>
      </c>
      <c r="GP625" s="94"/>
      <c r="GQ625" s="94"/>
    </row>
    <row r="626" spans="1:199" s="30" customFormat="1" ht="23.25" customHeight="1">
      <c r="A626" s="12"/>
      <c r="B626" s="12" t="s">
        <v>192</v>
      </c>
      <c r="C626" s="74" t="s">
        <v>355</v>
      </c>
      <c r="D626" s="73" t="s">
        <v>411</v>
      </c>
      <c r="E626" s="65">
        <v>44196</v>
      </c>
      <c r="F626" s="66">
        <v>44200</v>
      </c>
      <c r="G626" s="66">
        <v>44203</v>
      </c>
      <c r="H626" s="67">
        <v>0.02</v>
      </c>
      <c r="I626" s="113">
        <v>0.1698</v>
      </c>
      <c r="J626" s="113">
        <v>0</v>
      </c>
      <c r="K626" s="113">
        <v>0.1698</v>
      </c>
      <c r="L626" s="60">
        <f t="shared" si="22"/>
        <v>0.1256520022923</v>
      </c>
      <c r="M626" s="60">
        <f t="shared" si="21"/>
        <v>0.1256520022923</v>
      </c>
      <c r="N626" s="67" t="s">
        <v>251</v>
      </c>
      <c r="GP626" s="94"/>
      <c r="GQ626" s="94"/>
    </row>
    <row r="627" spans="1:199" s="30" customFormat="1" ht="21.75" customHeight="1">
      <c r="A627" s="12" t="s">
        <v>58</v>
      </c>
      <c r="B627" s="12" t="s">
        <v>311</v>
      </c>
      <c r="C627" s="64" t="s">
        <v>425</v>
      </c>
      <c r="D627" s="12" t="s">
        <v>411</v>
      </c>
      <c r="E627" s="65">
        <v>44196</v>
      </c>
      <c r="F627" s="66">
        <v>44200</v>
      </c>
      <c r="G627" s="66">
        <v>44203</v>
      </c>
      <c r="H627" s="67">
        <v>0.01</v>
      </c>
      <c r="I627" s="113">
        <v>0.0042</v>
      </c>
      <c r="J627" s="113">
        <v>0</v>
      </c>
      <c r="K627" s="113">
        <v>0.0042</v>
      </c>
      <c r="L627" s="60">
        <f t="shared" si="22"/>
        <v>0.0031080000567</v>
      </c>
      <c r="M627" s="60">
        <f t="shared" si="21"/>
        <v>0.0031080000567</v>
      </c>
      <c r="N627" s="67" t="s">
        <v>251</v>
      </c>
      <c r="GP627" s="94"/>
      <c r="GQ627" s="94"/>
    </row>
    <row r="628" spans="1:199" s="30" customFormat="1" ht="21.75" customHeight="1">
      <c r="A628" s="12" t="s">
        <v>198</v>
      </c>
      <c r="B628" s="12" t="s">
        <v>189</v>
      </c>
      <c r="C628" s="69" t="s">
        <v>356</v>
      </c>
      <c r="D628" s="12" t="s">
        <v>411</v>
      </c>
      <c r="E628" s="65">
        <v>44196</v>
      </c>
      <c r="F628" s="66">
        <v>44200</v>
      </c>
      <c r="G628" s="66">
        <v>44203</v>
      </c>
      <c r="H628" s="67">
        <v>0.01</v>
      </c>
      <c r="I628" s="113">
        <v>0.0763</v>
      </c>
      <c r="J628" s="113">
        <v>0</v>
      </c>
      <c r="K628" s="113">
        <v>0.0763</v>
      </c>
      <c r="L628" s="60">
        <f t="shared" si="22"/>
        <v>0.05646200103005</v>
      </c>
      <c r="M628" s="60">
        <f t="shared" si="21"/>
        <v>0.05646200103005</v>
      </c>
      <c r="N628" s="67" t="s">
        <v>251</v>
      </c>
      <c r="GP628" s="94"/>
      <c r="GQ628" s="94"/>
    </row>
    <row r="629" spans="1:199" s="30" customFormat="1" ht="23.25" customHeight="1">
      <c r="A629" s="12"/>
      <c r="B629" s="12" t="s">
        <v>197</v>
      </c>
      <c r="C629" s="74" t="s">
        <v>357</v>
      </c>
      <c r="D629" s="73" t="s">
        <v>411</v>
      </c>
      <c r="E629" s="65">
        <v>44196</v>
      </c>
      <c r="F629" s="66">
        <v>44200</v>
      </c>
      <c r="G629" s="66">
        <v>44203</v>
      </c>
      <c r="H629" s="67">
        <v>0.01</v>
      </c>
      <c r="I629" s="113">
        <v>0.0774</v>
      </c>
      <c r="J629" s="113">
        <v>0</v>
      </c>
      <c r="K629" s="113">
        <v>0.0774</v>
      </c>
      <c r="L629" s="60">
        <f t="shared" si="22"/>
        <v>0.05727600104489999</v>
      </c>
      <c r="M629" s="60">
        <f t="shared" si="21"/>
        <v>0.05727600104489999</v>
      </c>
      <c r="N629" s="67" t="s">
        <v>251</v>
      </c>
      <c r="GP629" s="94"/>
      <c r="GQ629" s="94"/>
    </row>
    <row r="630" spans="1:252" s="30" customFormat="1" ht="23.25" customHeight="1">
      <c r="A630" s="12"/>
      <c r="B630" s="12" t="s">
        <v>148</v>
      </c>
      <c r="C630" s="64" t="s">
        <v>362</v>
      </c>
      <c r="D630" s="12" t="s">
        <v>410</v>
      </c>
      <c r="E630" s="65">
        <v>44196</v>
      </c>
      <c r="F630" s="66">
        <v>44200</v>
      </c>
      <c r="G630" s="66">
        <v>44203</v>
      </c>
      <c r="H630" s="67">
        <v>0.015</v>
      </c>
      <c r="I630" s="60">
        <v>0.0357</v>
      </c>
      <c r="J630" s="113">
        <v>0</v>
      </c>
      <c r="K630" s="113">
        <v>0.0199</v>
      </c>
      <c r="L630" s="60">
        <f>+K630-((K630*0.4996*0.125)+(K630*(1-0.4996)*0.26))</f>
        <v>0.016068175400000002</v>
      </c>
      <c r="M630" s="60">
        <f t="shared" si="21"/>
        <v>0.016068175400000002</v>
      </c>
      <c r="N630" s="67" t="s">
        <v>248</v>
      </c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  <c r="CD630" s="95"/>
      <c r="CE630" s="95"/>
      <c r="CF630" s="95"/>
      <c r="CG630" s="95"/>
      <c r="CH630" s="95"/>
      <c r="CI630" s="95"/>
      <c r="CJ630" s="95"/>
      <c r="CK630" s="95"/>
      <c r="CL630" s="95"/>
      <c r="CM630" s="95"/>
      <c r="CN630" s="95"/>
      <c r="CO630" s="95"/>
      <c r="CP630" s="95"/>
      <c r="CQ630" s="95"/>
      <c r="CR630" s="95"/>
      <c r="CS630" s="95"/>
      <c r="CT630" s="95"/>
      <c r="CU630" s="95"/>
      <c r="CV630" s="95"/>
      <c r="CW630" s="95"/>
      <c r="CX630" s="95"/>
      <c r="CY630" s="95"/>
      <c r="CZ630" s="95"/>
      <c r="DA630" s="95"/>
      <c r="DB630" s="95"/>
      <c r="DC630" s="95"/>
      <c r="DD630" s="95"/>
      <c r="DE630" s="95"/>
      <c r="DF630" s="95"/>
      <c r="DG630" s="95"/>
      <c r="DH630" s="95"/>
      <c r="DI630" s="95"/>
      <c r="DJ630" s="95"/>
      <c r="DK630" s="95"/>
      <c r="DL630" s="95"/>
      <c r="DM630" s="95"/>
      <c r="DN630" s="95"/>
      <c r="DO630" s="95"/>
      <c r="DP630" s="95"/>
      <c r="DQ630" s="95"/>
      <c r="DR630" s="95"/>
      <c r="DS630" s="95"/>
      <c r="DT630" s="95"/>
      <c r="DU630" s="95"/>
      <c r="DV630" s="95"/>
      <c r="DW630" s="95"/>
      <c r="DX630" s="95"/>
      <c r="DY630" s="95"/>
      <c r="DZ630" s="95"/>
      <c r="EA630" s="95"/>
      <c r="EB630" s="95"/>
      <c r="EC630" s="95"/>
      <c r="ED630" s="95"/>
      <c r="EE630" s="95"/>
      <c r="EF630" s="95"/>
      <c r="EG630" s="95"/>
      <c r="EH630" s="95"/>
      <c r="EI630" s="95"/>
      <c r="EJ630" s="95"/>
      <c r="EK630" s="95"/>
      <c r="EL630" s="95"/>
      <c r="EM630" s="95"/>
      <c r="EN630" s="95"/>
      <c r="EO630" s="95"/>
      <c r="EP630" s="95"/>
      <c r="EQ630" s="95"/>
      <c r="ER630" s="95"/>
      <c r="ES630" s="95"/>
      <c r="ET630" s="95"/>
      <c r="EU630" s="95"/>
      <c r="EV630" s="95"/>
      <c r="EW630" s="95"/>
      <c r="EX630" s="95"/>
      <c r="EY630" s="95"/>
      <c r="EZ630" s="95"/>
      <c r="FA630" s="95"/>
      <c r="FB630" s="95"/>
      <c r="FC630" s="95"/>
      <c r="FD630" s="95"/>
      <c r="FE630" s="95"/>
      <c r="FF630" s="95"/>
      <c r="FG630" s="95"/>
      <c r="FH630" s="95"/>
      <c r="FI630" s="95"/>
      <c r="FJ630" s="95"/>
      <c r="FK630" s="95"/>
      <c r="FL630" s="95"/>
      <c r="FM630" s="95"/>
      <c r="FN630" s="95"/>
      <c r="FO630" s="95"/>
      <c r="FP630" s="95"/>
      <c r="FQ630" s="95"/>
      <c r="FR630" s="95"/>
      <c r="FS630" s="95"/>
      <c r="FT630" s="95"/>
      <c r="FU630" s="95"/>
      <c r="FV630" s="95"/>
      <c r="FW630" s="95"/>
      <c r="FX630" s="95"/>
      <c r="FY630" s="95"/>
      <c r="FZ630" s="95"/>
      <c r="GA630" s="95"/>
      <c r="GB630" s="95"/>
      <c r="GC630" s="95"/>
      <c r="GD630" s="95"/>
      <c r="GE630" s="95"/>
      <c r="GF630" s="95"/>
      <c r="GG630" s="95"/>
      <c r="GH630" s="95"/>
      <c r="GI630" s="95"/>
      <c r="GJ630" s="95"/>
      <c r="GK630" s="95"/>
      <c r="GL630" s="95"/>
      <c r="GM630" s="95"/>
      <c r="GN630" s="95"/>
      <c r="GO630" s="95"/>
      <c r="GP630" s="95"/>
      <c r="GQ630" s="95"/>
      <c r="GR630" s="29"/>
      <c r="GS630" s="29"/>
      <c r="GT630" s="29"/>
      <c r="GU630" s="29"/>
      <c r="GV630" s="29"/>
      <c r="GW630" s="29"/>
      <c r="GX630" s="29"/>
      <c r="GY630" s="29"/>
      <c r="GZ630" s="29"/>
      <c r="HA630" s="29"/>
      <c r="HB630" s="29"/>
      <c r="HC630" s="29"/>
      <c r="HD630" s="29"/>
      <c r="HE630" s="29"/>
      <c r="HF630" s="29"/>
      <c r="HG630" s="29"/>
      <c r="HH630" s="29"/>
      <c r="HI630" s="29"/>
      <c r="HJ630" s="29"/>
      <c r="HK630" s="29"/>
      <c r="HL630" s="29"/>
      <c r="HM630" s="29"/>
      <c r="HN630" s="29"/>
      <c r="HO630" s="29"/>
      <c r="HP630" s="29"/>
      <c r="HQ630" s="29"/>
      <c r="HR630" s="29"/>
      <c r="HS630" s="29"/>
      <c r="HT630" s="29"/>
      <c r="HU630" s="29"/>
      <c r="HV630" s="29"/>
      <c r="HW630" s="29"/>
      <c r="HX630" s="29"/>
      <c r="HY630" s="29"/>
      <c r="HZ630" s="29"/>
      <c r="IA630" s="29"/>
      <c r="IB630" s="29"/>
      <c r="IC630" s="29"/>
      <c r="ID630" s="29"/>
      <c r="IE630" s="29"/>
      <c r="IF630" s="29"/>
      <c r="IG630" s="29"/>
      <c r="IH630" s="29"/>
      <c r="II630" s="29"/>
      <c r="IJ630" s="29"/>
      <c r="IK630" s="29"/>
      <c r="IL630" s="29"/>
      <c r="IM630" s="29"/>
      <c r="IN630" s="29"/>
      <c r="IO630" s="29"/>
      <c r="IP630" s="29"/>
      <c r="IQ630" s="29"/>
      <c r="IR630" s="29"/>
    </row>
    <row r="631" spans="1:252" s="29" customFormat="1" ht="23.25" customHeight="1">
      <c r="A631" s="12" t="s">
        <v>202</v>
      </c>
      <c r="B631" s="12" t="s">
        <v>308</v>
      </c>
      <c r="C631" s="64" t="s">
        <v>426</v>
      </c>
      <c r="D631" s="12" t="s">
        <v>411</v>
      </c>
      <c r="E631" s="65">
        <v>44196</v>
      </c>
      <c r="F631" s="66">
        <v>44200</v>
      </c>
      <c r="G631" s="66">
        <v>44203</v>
      </c>
      <c r="H631" s="67">
        <v>0.015</v>
      </c>
      <c r="I631" s="113">
        <v>0.0062</v>
      </c>
      <c r="J631" s="113">
        <v>0</v>
      </c>
      <c r="K631" s="113">
        <v>0.0062</v>
      </c>
      <c r="L631" s="60">
        <f>+K631-((K631*0.4996*0.125)+(K631*(1-0.4996)*0.26))</f>
        <v>0.0050061652</v>
      </c>
      <c r="M631" s="60">
        <f t="shared" si="21"/>
        <v>0.0050061652</v>
      </c>
      <c r="N631" s="67" t="s">
        <v>251</v>
      </c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G631" s="30"/>
      <c r="DH631" s="30"/>
      <c r="DI631" s="30"/>
      <c r="DJ631" s="30"/>
      <c r="DK631" s="30"/>
      <c r="DL631" s="30"/>
      <c r="DM631" s="30"/>
      <c r="DN631" s="30"/>
      <c r="DO631" s="30"/>
      <c r="DP631" s="30"/>
      <c r="DQ631" s="30"/>
      <c r="DR631" s="30"/>
      <c r="DS631" s="30"/>
      <c r="DT631" s="30"/>
      <c r="DU631" s="30"/>
      <c r="DV631" s="30"/>
      <c r="DW631" s="30"/>
      <c r="DX631" s="30"/>
      <c r="DY631" s="30"/>
      <c r="DZ631" s="30"/>
      <c r="EA631" s="30"/>
      <c r="EB631" s="30"/>
      <c r="EC631" s="30"/>
      <c r="ED631" s="30"/>
      <c r="EE631" s="30"/>
      <c r="EF631" s="30"/>
      <c r="EG631" s="30"/>
      <c r="EH631" s="30"/>
      <c r="EI631" s="30"/>
      <c r="EJ631" s="30"/>
      <c r="EK631" s="30"/>
      <c r="EL631" s="30"/>
      <c r="EM631" s="30"/>
      <c r="EN631" s="30"/>
      <c r="EO631" s="30"/>
      <c r="EP631" s="30"/>
      <c r="EQ631" s="30"/>
      <c r="ER631" s="30"/>
      <c r="ES631" s="30"/>
      <c r="ET631" s="30"/>
      <c r="EU631" s="30"/>
      <c r="EV631" s="30"/>
      <c r="EW631" s="30"/>
      <c r="EX631" s="30"/>
      <c r="EY631" s="30"/>
      <c r="EZ631" s="30"/>
      <c r="FA631" s="30"/>
      <c r="FB631" s="30"/>
      <c r="FC631" s="30"/>
      <c r="FD631" s="30"/>
      <c r="FE631" s="30"/>
      <c r="FF631" s="30"/>
      <c r="FG631" s="30"/>
      <c r="FH631" s="30"/>
      <c r="FI631" s="30"/>
      <c r="FJ631" s="30"/>
      <c r="FK631" s="30"/>
      <c r="FL631" s="30"/>
      <c r="FM631" s="30"/>
      <c r="FN631" s="30"/>
      <c r="FO631" s="30"/>
      <c r="FP631" s="30"/>
      <c r="FQ631" s="30"/>
      <c r="FR631" s="30"/>
      <c r="FS631" s="30"/>
      <c r="FT631" s="30"/>
      <c r="FU631" s="30"/>
      <c r="FV631" s="30"/>
      <c r="FW631" s="30"/>
      <c r="FX631" s="30"/>
      <c r="FY631" s="30"/>
      <c r="FZ631" s="30"/>
      <c r="GA631" s="30"/>
      <c r="GB631" s="30"/>
      <c r="GC631" s="30"/>
      <c r="GD631" s="30"/>
      <c r="GE631" s="30"/>
      <c r="GF631" s="30"/>
      <c r="GG631" s="30"/>
      <c r="GH631" s="30"/>
      <c r="GI631" s="30"/>
      <c r="GJ631" s="30"/>
      <c r="GK631" s="30"/>
      <c r="GL631" s="30"/>
      <c r="GM631" s="30"/>
      <c r="GN631" s="30"/>
      <c r="GO631" s="30"/>
      <c r="GP631" s="94"/>
      <c r="GQ631" s="94"/>
      <c r="GR631" s="30"/>
      <c r="GS631" s="30"/>
      <c r="GT631" s="30"/>
      <c r="GU631" s="30"/>
      <c r="GV631" s="30"/>
      <c r="GW631" s="30"/>
      <c r="GX631" s="30"/>
      <c r="GY631" s="30"/>
      <c r="GZ631" s="30"/>
      <c r="HA631" s="30"/>
      <c r="HB631" s="30"/>
      <c r="HC631" s="30"/>
      <c r="HD631" s="30"/>
      <c r="HE631" s="30"/>
      <c r="HF631" s="30"/>
      <c r="HG631" s="30"/>
      <c r="HH631" s="30"/>
      <c r="HI631" s="30"/>
      <c r="HJ631" s="30"/>
      <c r="HK631" s="30"/>
      <c r="HL631" s="30"/>
      <c r="HM631" s="30"/>
      <c r="HN631" s="30"/>
      <c r="HO631" s="30"/>
      <c r="HP631" s="30"/>
      <c r="HQ631" s="30"/>
      <c r="HR631" s="30"/>
      <c r="HS631" s="30"/>
      <c r="HT631" s="30"/>
      <c r="HU631" s="30"/>
      <c r="HV631" s="30"/>
      <c r="HW631" s="30"/>
      <c r="HX631" s="30"/>
      <c r="HY631" s="30"/>
      <c r="HZ631" s="30"/>
      <c r="IA631" s="30"/>
      <c r="IB631" s="30"/>
      <c r="IC631" s="30"/>
      <c r="ID631" s="30"/>
      <c r="IE631" s="30"/>
      <c r="IF631" s="30"/>
      <c r="IG631" s="30"/>
      <c r="IH631" s="30"/>
      <c r="II631" s="30"/>
      <c r="IJ631" s="30"/>
      <c r="IK631" s="30"/>
      <c r="IL631" s="30"/>
      <c r="IM631" s="30"/>
      <c r="IN631" s="30"/>
      <c r="IO631" s="30"/>
      <c r="IP631" s="30"/>
      <c r="IQ631" s="30"/>
      <c r="IR631" s="30"/>
    </row>
    <row r="632" spans="1:199" s="29" customFormat="1" ht="23.25" customHeight="1">
      <c r="A632" s="12"/>
      <c r="B632" s="12" t="s">
        <v>186</v>
      </c>
      <c r="C632" s="69" t="s">
        <v>363</v>
      </c>
      <c r="D632" s="12" t="s">
        <v>411</v>
      </c>
      <c r="E632" s="65">
        <v>44196</v>
      </c>
      <c r="F632" s="66">
        <v>44200</v>
      </c>
      <c r="G632" s="66">
        <v>44203</v>
      </c>
      <c r="H632" s="67">
        <v>0.015</v>
      </c>
      <c r="I632" s="113">
        <v>0.114</v>
      </c>
      <c r="J632" s="113">
        <v>0</v>
      </c>
      <c r="K632" s="113">
        <v>0.114</v>
      </c>
      <c r="L632" s="60">
        <f>+K632-((K632*0.4996*0.125)+(K632*(1-0.4996)*0.26))</f>
        <v>0.092048844</v>
      </c>
      <c r="M632" s="60">
        <f t="shared" si="21"/>
        <v>0.092048844</v>
      </c>
      <c r="N632" s="67" t="s">
        <v>251</v>
      </c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  <c r="CD632" s="95"/>
      <c r="CE632" s="95"/>
      <c r="CF632" s="95"/>
      <c r="CG632" s="95"/>
      <c r="CH632" s="95"/>
      <c r="CI632" s="95"/>
      <c r="CJ632" s="95"/>
      <c r="CK632" s="95"/>
      <c r="CL632" s="95"/>
      <c r="CM632" s="95"/>
      <c r="CN632" s="95"/>
      <c r="CO632" s="95"/>
      <c r="CP632" s="95"/>
      <c r="CQ632" s="95"/>
      <c r="CR632" s="95"/>
      <c r="CS632" s="95"/>
      <c r="CT632" s="95"/>
      <c r="CU632" s="95"/>
      <c r="CV632" s="95"/>
      <c r="CW632" s="95"/>
      <c r="CX632" s="95"/>
      <c r="CY632" s="95"/>
      <c r="CZ632" s="95"/>
      <c r="DA632" s="95"/>
      <c r="DB632" s="95"/>
      <c r="DC632" s="95"/>
      <c r="DD632" s="95"/>
      <c r="DE632" s="95"/>
      <c r="DF632" s="95"/>
      <c r="DG632" s="95"/>
      <c r="DH632" s="95"/>
      <c r="DI632" s="95"/>
      <c r="DJ632" s="95"/>
      <c r="DK632" s="95"/>
      <c r="DL632" s="95"/>
      <c r="DM632" s="95"/>
      <c r="DN632" s="95"/>
      <c r="DO632" s="95"/>
      <c r="DP632" s="95"/>
      <c r="DQ632" s="95"/>
      <c r="DR632" s="95"/>
      <c r="DS632" s="95"/>
      <c r="DT632" s="95"/>
      <c r="DU632" s="95"/>
      <c r="DV632" s="95"/>
      <c r="DW632" s="95"/>
      <c r="DX632" s="95"/>
      <c r="DY632" s="95"/>
      <c r="DZ632" s="95"/>
      <c r="EA632" s="95"/>
      <c r="EB632" s="95"/>
      <c r="EC632" s="95"/>
      <c r="ED632" s="95"/>
      <c r="EE632" s="95"/>
      <c r="EF632" s="95"/>
      <c r="EG632" s="95"/>
      <c r="EH632" s="95"/>
      <c r="EI632" s="95"/>
      <c r="EJ632" s="95"/>
      <c r="EK632" s="95"/>
      <c r="EL632" s="95"/>
      <c r="EM632" s="95"/>
      <c r="EN632" s="95"/>
      <c r="EO632" s="95"/>
      <c r="EP632" s="95"/>
      <c r="EQ632" s="95"/>
      <c r="ER632" s="95"/>
      <c r="ES632" s="95"/>
      <c r="ET632" s="95"/>
      <c r="EU632" s="95"/>
      <c r="EV632" s="95"/>
      <c r="EW632" s="95"/>
      <c r="EX632" s="95"/>
      <c r="EY632" s="95"/>
      <c r="EZ632" s="95"/>
      <c r="FA632" s="95"/>
      <c r="FB632" s="95"/>
      <c r="FC632" s="95"/>
      <c r="FD632" s="95"/>
      <c r="FE632" s="95"/>
      <c r="FF632" s="95"/>
      <c r="FG632" s="95"/>
      <c r="FH632" s="95"/>
      <c r="FI632" s="95"/>
      <c r="FJ632" s="95"/>
      <c r="FK632" s="95"/>
      <c r="FL632" s="95"/>
      <c r="FM632" s="95"/>
      <c r="FN632" s="95"/>
      <c r="FO632" s="95"/>
      <c r="FP632" s="95"/>
      <c r="FQ632" s="95"/>
      <c r="FR632" s="95"/>
      <c r="FS632" s="95"/>
      <c r="FT632" s="95"/>
      <c r="FU632" s="95"/>
      <c r="FV632" s="95"/>
      <c r="FW632" s="95"/>
      <c r="FX632" s="95"/>
      <c r="FY632" s="95"/>
      <c r="FZ632" s="95"/>
      <c r="GA632" s="95"/>
      <c r="GB632" s="95"/>
      <c r="GC632" s="95"/>
      <c r="GD632" s="95"/>
      <c r="GE632" s="95"/>
      <c r="GF632" s="95"/>
      <c r="GG632" s="95"/>
      <c r="GH632" s="95"/>
      <c r="GI632" s="95"/>
      <c r="GJ632" s="95"/>
      <c r="GK632" s="95"/>
      <c r="GL632" s="95"/>
      <c r="GM632" s="95"/>
      <c r="GN632" s="95"/>
      <c r="GO632" s="95"/>
      <c r="GP632" s="95"/>
      <c r="GQ632" s="95"/>
    </row>
    <row r="633" spans="1:252" s="29" customFormat="1" ht="23.25" customHeight="1">
      <c r="A633" s="12"/>
      <c r="B633" s="12" t="s">
        <v>194</v>
      </c>
      <c r="C633" s="74" t="s">
        <v>364</v>
      </c>
      <c r="D633" s="73" t="s">
        <v>411</v>
      </c>
      <c r="E633" s="65">
        <v>44196</v>
      </c>
      <c r="F633" s="66">
        <v>44200</v>
      </c>
      <c r="G633" s="66">
        <v>44203</v>
      </c>
      <c r="H633" s="67">
        <v>0.015</v>
      </c>
      <c r="I633" s="113">
        <v>0.1168</v>
      </c>
      <c r="J633" s="113">
        <v>0</v>
      </c>
      <c r="K633" s="113">
        <v>0.1168</v>
      </c>
      <c r="L633" s="60">
        <f>+K633-((K633*0.4996*0.125)+(K633*(1-0.4996)*0.26))</f>
        <v>0.0943096928</v>
      </c>
      <c r="M633" s="60">
        <f t="shared" si="21"/>
        <v>0.0943096928</v>
      </c>
      <c r="N633" s="67" t="s">
        <v>251</v>
      </c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  <c r="CU633" s="30"/>
      <c r="CV633" s="30"/>
      <c r="CW633" s="30"/>
      <c r="CX633" s="30"/>
      <c r="CY633" s="30"/>
      <c r="CZ633" s="30"/>
      <c r="DA633" s="30"/>
      <c r="DB633" s="30"/>
      <c r="DC633" s="30"/>
      <c r="DD633" s="30"/>
      <c r="DE633" s="30"/>
      <c r="DF633" s="30"/>
      <c r="DG633" s="30"/>
      <c r="DH633" s="30"/>
      <c r="DI633" s="30"/>
      <c r="DJ633" s="30"/>
      <c r="DK633" s="30"/>
      <c r="DL633" s="30"/>
      <c r="DM633" s="30"/>
      <c r="DN633" s="30"/>
      <c r="DO633" s="30"/>
      <c r="DP633" s="30"/>
      <c r="DQ633" s="30"/>
      <c r="DR633" s="30"/>
      <c r="DS633" s="30"/>
      <c r="DT633" s="30"/>
      <c r="DU633" s="30"/>
      <c r="DV633" s="30"/>
      <c r="DW633" s="30"/>
      <c r="DX633" s="30"/>
      <c r="DY633" s="30"/>
      <c r="DZ633" s="30"/>
      <c r="EA633" s="30"/>
      <c r="EB633" s="30"/>
      <c r="EC633" s="30"/>
      <c r="ED633" s="30"/>
      <c r="EE633" s="30"/>
      <c r="EF633" s="30"/>
      <c r="EG633" s="30"/>
      <c r="EH633" s="30"/>
      <c r="EI633" s="30"/>
      <c r="EJ633" s="30"/>
      <c r="EK633" s="30"/>
      <c r="EL633" s="30"/>
      <c r="EM633" s="30"/>
      <c r="EN633" s="30"/>
      <c r="EO633" s="30"/>
      <c r="EP633" s="30"/>
      <c r="EQ633" s="30"/>
      <c r="ER633" s="30"/>
      <c r="ES633" s="30"/>
      <c r="ET633" s="30"/>
      <c r="EU633" s="30"/>
      <c r="EV633" s="30"/>
      <c r="EW633" s="30"/>
      <c r="EX633" s="30"/>
      <c r="EY633" s="30"/>
      <c r="EZ633" s="30"/>
      <c r="FA633" s="30"/>
      <c r="FB633" s="30"/>
      <c r="FC633" s="30"/>
      <c r="FD633" s="30"/>
      <c r="FE633" s="30"/>
      <c r="FF633" s="30"/>
      <c r="FG633" s="30"/>
      <c r="FH633" s="30"/>
      <c r="FI633" s="30"/>
      <c r="FJ633" s="30"/>
      <c r="FK633" s="30"/>
      <c r="FL633" s="30"/>
      <c r="FM633" s="30"/>
      <c r="FN633" s="30"/>
      <c r="FO633" s="30"/>
      <c r="FP633" s="30"/>
      <c r="FQ633" s="30"/>
      <c r="FR633" s="30"/>
      <c r="FS633" s="30"/>
      <c r="FT633" s="30"/>
      <c r="FU633" s="30"/>
      <c r="FV633" s="30"/>
      <c r="FW633" s="30"/>
      <c r="FX633" s="30"/>
      <c r="FY633" s="30"/>
      <c r="FZ633" s="30"/>
      <c r="GA633" s="30"/>
      <c r="GB633" s="30"/>
      <c r="GC633" s="30"/>
      <c r="GD633" s="30"/>
      <c r="GE633" s="30"/>
      <c r="GF633" s="30"/>
      <c r="GG633" s="30"/>
      <c r="GH633" s="30"/>
      <c r="GI633" s="30"/>
      <c r="GJ633" s="30"/>
      <c r="GK633" s="30"/>
      <c r="GL633" s="30"/>
      <c r="GM633" s="30"/>
      <c r="GN633" s="30"/>
      <c r="GO633" s="30"/>
      <c r="GP633" s="94"/>
      <c r="GQ633" s="94"/>
      <c r="GR633" s="30"/>
      <c r="GS633" s="30"/>
      <c r="GT633" s="30"/>
      <c r="GU633" s="30"/>
      <c r="GV633" s="30"/>
      <c r="GW633" s="30"/>
      <c r="GX633" s="30"/>
      <c r="GY633" s="30"/>
      <c r="GZ633" s="30"/>
      <c r="HA633" s="30"/>
      <c r="HB633" s="30"/>
      <c r="HC633" s="30"/>
      <c r="HD633" s="30"/>
      <c r="HE633" s="30"/>
      <c r="HF633" s="30"/>
      <c r="HG633" s="30"/>
      <c r="HH633" s="30"/>
      <c r="HI633" s="30"/>
      <c r="HJ633" s="30"/>
      <c r="HK633" s="30"/>
      <c r="HL633" s="30"/>
      <c r="HM633" s="30"/>
      <c r="HN633" s="30"/>
      <c r="HO633" s="30"/>
      <c r="HP633" s="30"/>
      <c r="HQ633" s="30"/>
      <c r="HR633" s="30"/>
      <c r="HS633" s="30"/>
      <c r="HT633" s="30"/>
      <c r="HU633" s="30"/>
      <c r="HV633" s="30"/>
      <c r="HW633" s="30"/>
      <c r="HX633" s="30"/>
      <c r="HY633" s="30"/>
      <c r="HZ633" s="30"/>
      <c r="IA633" s="30"/>
      <c r="IB633" s="30"/>
      <c r="IC633" s="30"/>
      <c r="ID633" s="30"/>
      <c r="IE633" s="30"/>
      <c r="IF633" s="30"/>
      <c r="IG633" s="30"/>
      <c r="IH633" s="30"/>
      <c r="II633" s="30"/>
      <c r="IJ633" s="30"/>
      <c r="IK633" s="30"/>
      <c r="IL633" s="30"/>
      <c r="IM633" s="30"/>
      <c r="IN633" s="30"/>
      <c r="IO633" s="30"/>
      <c r="IP633" s="30"/>
      <c r="IQ633" s="30"/>
      <c r="IR633" s="30"/>
    </row>
    <row r="634" spans="1:199" s="30" customFormat="1" ht="23.25" customHeight="1">
      <c r="A634" s="12" t="s">
        <v>182</v>
      </c>
      <c r="B634" s="12" t="s">
        <v>200</v>
      </c>
      <c r="C634" s="74" t="s">
        <v>365</v>
      </c>
      <c r="D634" s="12" t="s">
        <v>410</v>
      </c>
      <c r="E634" s="65">
        <v>44196</v>
      </c>
      <c r="F634" s="66">
        <v>44200</v>
      </c>
      <c r="G634" s="66">
        <v>44203</v>
      </c>
      <c r="H634" s="67">
        <v>0.015</v>
      </c>
      <c r="I634" s="60">
        <v>0.0764</v>
      </c>
      <c r="J634" s="113">
        <v>0</v>
      </c>
      <c r="K634" s="113">
        <v>0.3704</v>
      </c>
      <c r="L634" s="60">
        <f>+K634-((K634*0.4996*0.125)+(K634*(1-0.4996)*0.26))</f>
        <v>0.29907799840000004</v>
      </c>
      <c r="M634" s="60">
        <f t="shared" si="21"/>
        <v>0.29907799840000004</v>
      </c>
      <c r="N634" s="67" t="s">
        <v>248</v>
      </c>
      <c r="GP634" s="94"/>
      <c r="GQ634" s="94"/>
    </row>
    <row r="635" spans="1:14" s="30" customFormat="1" ht="23.25" customHeight="1">
      <c r="A635" s="12" t="s">
        <v>100</v>
      </c>
      <c r="B635" s="12" t="s">
        <v>307</v>
      </c>
      <c r="C635" s="64" t="s">
        <v>420</v>
      </c>
      <c r="D635" s="12" t="s">
        <v>411</v>
      </c>
      <c r="E635" s="65">
        <v>44196</v>
      </c>
      <c r="F635" s="66">
        <v>44200</v>
      </c>
      <c r="G635" s="66">
        <v>44203</v>
      </c>
      <c r="H635" s="67">
        <v>0.015</v>
      </c>
      <c r="I635" s="113">
        <v>0.0062</v>
      </c>
      <c r="J635" s="113">
        <v>0</v>
      </c>
      <c r="K635" s="113">
        <v>0.0062</v>
      </c>
      <c r="L635" s="60">
        <f>+K635-((K635*0.619*0.125)+(K635*(1-0.619)*0.26))</f>
        <v>0.005106103</v>
      </c>
      <c r="M635" s="60">
        <f t="shared" si="21"/>
        <v>0.005106103</v>
      </c>
      <c r="N635" s="67" t="s">
        <v>251</v>
      </c>
    </row>
    <row r="636" spans="1:199" s="30" customFormat="1" ht="23.25" customHeight="1">
      <c r="A636" s="12" t="s">
        <v>95</v>
      </c>
      <c r="B636" s="12" t="s">
        <v>185</v>
      </c>
      <c r="C636" s="69" t="s">
        <v>366</v>
      </c>
      <c r="D636" s="12" t="s">
        <v>411</v>
      </c>
      <c r="E636" s="65">
        <v>44196</v>
      </c>
      <c r="F636" s="66">
        <v>44200</v>
      </c>
      <c r="G636" s="66">
        <v>44203</v>
      </c>
      <c r="H636" s="67">
        <v>0.015</v>
      </c>
      <c r="I636" s="113">
        <v>0.1039</v>
      </c>
      <c r="J636" s="113">
        <v>0</v>
      </c>
      <c r="K636" s="113">
        <v>0.1039</v>
      </c>
      <c r="L636" s="60">
        <f>+K636-((K636*0.619*0.125)+(K636*(1-0.619)*0.26))</f>
        <v>0.0855684035</v>
      </c>
      <c r="M636" s="60">
        <f t="shared" si="21"/>
        <v>0.0855684035</v>
      </c>
      <c r="N636" s="67" t="s">
        <v>251</v>
      </c>
      <c r="GP636" s="94"/>
      <c r="GQ636" s="94"/>
    </row>
    <row r="637" spans="1:199" s="30" customFormat="1" ht="23.25" customHeight="1">
      <c r="A637" s="12" t="s">
        <v>10</v>
      </c>
      <c r="B637" s="12" t="s">
        <v>193</v>
      </c>
      <c r="C637" s="74" t="s">
        <v>367</v>
      </c>
      <c r="D637" s="73" t="s">
        <v>411</v>
      </c>
      <c r="E637" s="65">
        <v>44196</v>
      </c>
      <c r="F637" s="66">
        <v>44200</v>
      </c>
      <c r="G637" s="66">
        <v>44203</v>
      </c>
      <c r="H637" s="67">
        <v>0.015</v>
      </c>
      <c r="I637" s="113">
        <v>0.1009</v>
      </c>
      <c r="J637" s="113">
        <v>0</v>
      </c>
      <c r="K637" s="113">
        <v>0.1009</v>
      </c>
      <c r="L637" s="60">
        <f>+K637-((K637*0.619*0.125)+(K637*(1-0.619)*0.26))</f>
        <v>0.0830977085</v>
      </c>
      <c r="M637" s="60">
        <f aca="true" t="shared" si="23" ref="M637:M647">J637+L637</f>
        <v>0.0830977085</v>
      </c>
      <c r="N637" s="67" t="s">
        <v>251</v>
      </c>
      <c r="GP637" s="94"/>
      <c r="GQ637" s="94"/>
    </row>
    <row r="638" spans="1:199" s="30" customFormat="1" ht="23.25" customHeight="1">
      <c r="A638" s="12" t="s">
        <v>11</v>
      </c>
      <c r="B638" s="12" t="s">
        <v>309</v>
      </c>
      <c r="C638" s="64" t="s">
        <v>427</v>
      </c>
      <c r="D638" s="12" t="s">
        <v>411</v>
      </c>
      <c r="E638" s="65">
        <v>44196</v>
      </c>
      <c r="F638" s="66">
        <v>44200</v>
      </c>
      <c r="G638" s="66">
        <v>44203</v>
      </c>
      <c r="H638" s="67">
        <v>0.035</v>
      </c>
      <c r="I638" s="113">
        <v>0.0145</v>
      </c>
      <c r="J638" s="113">
        <v>0</v>
      </c>
      <c r="K638" s="113">
        <v>0.0145</v>
      </c>
      <c r="L638" s="60">
        <f>+K638-((K638*0.0000001*0.125)+(K638*(1-0.0000001)*0.26))</f>
        <v>0.01073000019575</v>
      </c>
      <c r="M638" s="60">
        <f t="shared" si="23"/>
        <v>0.01073000019575</v>
      </c>
      <c r="N638" s="67" t="s">
        <v>251</v>
      </c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</row>
    <row r="639" spans="1:14" s="30" customFormat="1" ht="23.25" customHeight="1">
      <c r="A639" s="12" t="s">
        <v>27</v>
      </c>
      <c r="B639" s="12" t="s">
        <v>187</v>
      </c>
      <c r="C639" s="69" t="s">
        <v>368</v>
      </c>
      <c r="D639" s="12" t="s">
        <v>411</v>
      </c>
      <c r="E639" s="65">
        <v>44196</v>
      </c>
      <c r="F639" s="66">
        <v>44200</v>
      </c>
      <c r="G639" s="66">
        <v>44203</v>
      </c>
      <c r="H639" s="67">
        <v>0.035</v>
      </c>
      <c r="I639" s="113">
        <v>0.2568</v>
      </c>
      <c r="J639" s="113">
        <v>0</v>
      </c>
      <c r="K639" s="113">
        <v>0.2568</v>
      </c>
      <c r="L639" s="60">
        <f>+K639-((K639*0.0000001*0.125)+(K639*(1-0.0000001)*0.26))</f>
        <v>0.19003200346679996</v>
      </c>
      <c r="M639" s="60">
        <f t="shared" si="23"/>
        <v>0.19003200346679996</v>
      </c>
      <c r="N639" s="67" t="s">
        <v>251</v>
      </c>
    </row>
    <row r="640" spans="1:14" s="30" customFormat="1" ht="21" customHeight="1">
      <c r="A640" s="12" t="s">
        <v>98</v>
      </c>
      <c r="B640" s="12" t="s">
        <v>195</v>
      </c>
      <c r="C640" s="74" t="s">
        <v>369</v>
      </c>
      <c r="D640" s="73" t="s">
        <v>411</v>
      </c>
      <c r="E640" s="65">
        <v>44196</v>
      </c>
      <c r="F640" s="66">
        <v>44200</v>
      </c>
      <c r="G640" s="66">
        <v>44203</v>
      </c>
      <c r="H640" s="67">
        <v>0.035</v>
      </c>
      <c r="I640" s="113">
        <v>0.264</v>
      </c>
      <c r="J640" s="113">
        <v>0</v>
      </c>
      <c r="K640" s="113">
        <v>0.264</v>
      </c>
      <c r="L640" s="60">
        <f>+K640-((K640*0.0000001*0.125)+(K640*(1-0.0000001)*0.26))</f>
        <v>0.19536000356400002</v>
      </c>
      <c r="M640" s="60">
        <f t="shared" si="23"/>
        <v>0.19536000356400002</v>
      </c>
      <c r="N640" s="67" t="s">
        <v>251</v>
      </c>
    </row>
    <row r="641" spans="1:199" s="30" customFormat="1" ht="21" customHeight="1">
      <c r="A641" s="12" t="s">
        <v>12</v>
      </c>
      <c r="B641" s="12" t="s">
        <v>312</v>
      </c>
      <c r="C641" s="64" t="s">
        <v>428</v>
      </c>
      <c r="D641" s="12" t="s">
        <v>411</v>
      </c>
      <c r="E641" s="65">
        <v>44196</v>
      </c>
      <c r="F641" s="66">
        <v>44200</v>
      </c>
      <c r="G641" s="66">
        <v>44203</v>
      </c>
      <c r="H641" s="67">
        <v>0.05</v>
      </c>
      <c r="I641" s="113">
        <v>0.0211</v>
      </c>
      <c r="J641" s="113">
        <v>0</v>
      </c>
      <c r="K641" s="113">
        <v>0.0211</v>
      </c>
      <c r="L641" s="60">
        <f>+K641-((K641*0.028*0.125)+(K641*(1-0.028)*0.26))</f>
        <v>0.015693758</v>
      </c>
      <c r="M641" s="60">
        <f t="shared" si="23"/>
        <v>0.015693758</v>
      </c>
      <c r="N641" s="67" t="s">
        <v>251</v>
      </c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  <c r="EK641" s="29"/>
      <c r="EL641" s="29"/>
      <c r="EM641" s="29"/>
      <c r="EN641" s="29"/>
      <c r="EO641" s="29"/>
      <c r="EP641" s="29"/>
      <c r="EQ641" s="29"/>
      <c r="ER641" s="29"/>
      <c r="ES641" s="29"/>
      <c r="ET641" s="29"/>
      <c r="EU641" s="29"/>
      <c r="EV641" s="29"/>
      <c r="EW641" s="29"/>
      <c r="EX641" s="29"/>
      <c r="EY641" s="29"/>
      <c r="EZ641" s="29"/>
      <c r="FA641" s="29"/>
      <c r="FB641" s="29"/>
      <c r="FC641" s="29"/>
      <c r="FD641" s="29"/>
      <c r="FE641" s="29"/>
      <c r="FF641" s="29"/>
      <c r="FG641" s="29"/>
      <c r="FH641" s="29"/>
      <c r="FI641" s="29"/>
      <c r="FJ641" s="29"/>
      <c r="FK641" s="29"/>
      <c r="FL641" s="29"/>
      <c r="FM641" s="29"/>
      <c r="FN641" s="29"/>
      <c r="FO641" s="29"/>
      <c r="FP641" s="29"/>
      <c r="FQ641" s="29"/>
      <c r="FR641" s="29"/>
      <c r="FS641" s="29"/>
      <c r="FT641" s="29"/>
      <c r="FU641" s="29"/>
      <c r="FV641" s="29"/>
      <c r="FW641" s="29"/>
      <c r="FX641" s="29"/>
      <c r="FY641" s="29"/>
      <c r="FZ641" s="29"/>
      <c r="GA641" s="29"/>
      <c r="GB641" s="29"/>
      <c r="GC641" s="29"/>
      <c r="GD641" s="29"/>
      <c r="GE641" s="29"/>
      <c r="GF641" s="29"/>
      <c r="GG641" s="29"/>
      <c r="GH641" s="29"/>
      <c r="GI641" s="29"/>
      <c r="GJ641" s="29"/>
      <c r="GK641" s="29"/>
      <c r="GL641" s="29"/>
      <c r="GM641" s="29"/>
      <c r="GN641" s="29"/>
      <c r="GO641" s="29"/>
      <c r="GP641" s="29"/>
      <c r="GQ641" s="29"/>
    </row>
    <row r="642" spans="1:199" s="30" customFormat="1" ht="23.25" customHeight="1">
      <c r="A642" s="12" t="s">
        <v>102</v>
      </c>
      <c r="B642" s="12" t="s">
        <v>190</v>
      </c>
      <c r="C642" s="69" t="s">
        <v>370</v>
      </c>
      <c r="D642" s="12" t="s">
        <v>411</v>
      </c>
      <c r="E642" s="65">
        <v>44196</v>
      </c>
      <c r="F642" s="66">
        <v>44200</v>
      </c>
      <c r="G642" s="66">
        <v>44203</v>
      </c>
      <c r="H642" s="67">
        <v>0.05</v>
      </c>
      <c r="I642" s="113">
        <v>0.3999</v>
      </c>
      <c r="J642" s="113">
        <v>0</v>
      </c>
      <c r="K642" s="113">
        <v>0.3999</v>
      </c>
      <c r="L642" s="60">
        <f>+K642-((K642*0.028*0.125)+(K642*(1-0.028)*0.26))</f>
        <v>0.297437622</v>
      </c>
      <c r="M642" s="60">
        <f t="shared" si="23"/>
        <v>0.297437622</v>
      </c>
      <c r="N642" s="67" t="s">
        <v>251</v>
      </c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  <c r="EK642" s="29"/>
      <c r="EL642" s="29"/>
      <c r="EM642" s="29"/>
      <c r="EN642" s="29"/>
      <c r="EO642" s="29"/>
      <c r="EP642" s="29"/>
      <c r="EQ642" s="29"/>
      <c r="ER642" s="29"/>
      <c r="ES642" s="29"/>
      <c r="ET642" s="29"/>
      <c r="EU642" s="29"/>
      <c r="EV642" s="29"/>
      <c r="EW642" s="29"/>
      <c r="EX642" s="29"/>
      <c r="EY642" s="29"/>
      <c r="EZ642" s="29"/>
      <c r="FA642" s="29"/>
      <c r="FB642" s="29"/>
      <c r="FC642" s="29"/>
      <c r="FD642" s="29"/>
      <c r="FE642" s="29"/>
      <c r="FF642" s="29"/>
      <c r="FG642" s="29"/>
      <c r="FH642" s="29"/>
      <c r="FI642" s="29"/>
      <c r="FJ642" s="29"/>
      <c r="FK642" s="29"/>
      <c r="FL642" s="29"/>
      <c r="FM642" s="29"/>
      <c r="FN642" s="29"/>
      <c r="FO642" s="29"/>
      <c r="FP642" s="29"/>
      <c r="FQ642" s="29"/>
      <c r="FR642" s="29"/>
      <c r="FS642" s="29"/>
      <c r="FT642" s="29"/>
      <c r="FU642" s="29"/>
      <c r="FV642" s="29"/>
      <c r="FW642" s="29"/>
      <c r="FX642" s="29"/>
      <c r="FY642" s="29"/>
      <c r="FZ642" s="29"/>
      <c r="GA642" s="29"/>
      <c r="GB642" s="29"/>
      <c r="GC642" s="29"/>
      <c r="GD642" s="29"/>
      <c r="GE642" s="29"/>
      <c r="GF642" s="29"/>
      <c r="GG642" s="29"/>
      <c r="GH642" s="29"/>
      <c r="GI642" s="29"/>
      <c r="GJ642" s="29"/>
      <c r="GK642" s="29"/>
      <c r="GL642" s="29"/>
      <c r="GM642" s="29"/>
      <c r="GN642" s="29"/>
      <c r="GO642" s="29"/>
      <c r="GP642" s="29"/>
      <c r="GQ642" s="29"/>
    </row>
    <row r="643" spans="1:199" s="30" customFormat="1" ht="23.25" customHeight="1">
      <c r="A643" s="12" t="s">
        <v>101</v>
      </c>
      <c r="B643" s="12" t="s">
        <v>198</v>
      </c>
      <c r="C643" s="74" t="s">
        <v>371</v>
      </c>
      <c r="D643" s="73" t="s">
        <v>411</v>
      </c>
      <c r="E643" s="65">
        <v>44196</v>
      </c>
      <c r="F643" s="66">
        <v>44200</v>
      </c>
      <c r="G643" s="66">
        <v>44203</v>
      </c>
      <c r="H643" s="67">
        <v>0.05</v>
      </c>
      <c r="I643" s="113">
        <v>0.3995</v>
      </c>
      <c r="J643" s="113">
        <v>0</v>
      </c>
      <c r="K643" s="113">
        <v>0.3995</v>
      </c>
      <c r="L643" s="60">
        <f>+K643-((K643*0.028*0.125)+(K643*(1-0.028)*0.26))</f>
        <v>0.29714011</v>
      </c>
      <c r="M643" s="60">
        <f t="shared" si="23"/>
        <v>0.29714011</v>
      </c>
      <c r="N643" s="67" t="s">
        <v>251</v>
      </c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  <c r="EK643" s="29"/>
      <c r="EL643" s="29"/>
      <c r="EM643" s="29"/>
      <c r="EN643" s="29"/>
      <c r="EO643" s="29"/>
      <c r="EP643" s="29"/>
      <c r="EQ643" s="29"/>
      <c r="ER643" s="29"/>
      <c r="ES643" s="29"/>
      <c r="ET643" s="29"/>
      <c r="EU643" s="29"/>
      <c r="EV643" s="29"/>
      <c r="EW643" s="29"/>
      <c r="EX643" s="29"/>
      <c r="EY643" s="29"/>
      <c r="EZ643" s="29"/>
      <c r="FA643" s="29"/>
      <c r="FB643" s="29"/>
      <c r="FC643" s="29"/>
      <c r="FD643" s="29"/>
      <c r="FE643" s="29"/>
      <c r="FF643" s="29"/>
      <c r="FG643" s="29"/>
      <c r="FH643" s="29"/>
      <c r="FI643" s="29"/>
      <c r="FJ643" s="29"/>
      <c r="FK643" s="29"/>
      <c r="FL643" s="29"/>
      <c r="FM643" s="29"/>
      <c r="FN643" s="29"/>
      <c r="FO643" s="29"/>
      <c r="FP643" s="29"/>
      <c r="FQ643" s="29"/>
      <c r="FR643" s="29"/>
      <c r="FS643" s="29"/>
      <c r="FT643" s="29"/>
      <c r="FU643" s="29"/>
      <c r="FV643" s="29"/>
      <c r="FW643" s="29"/>
      <c r="FX643" s="29"/>
      <c r="FY643" s="29"/>
      <c r="FZ643" s="29"/>
      <c r="GA643" s="29"/>
      <c r="GB643" s="29"/>
      <c r="GC643" s="29"/>
      <c r="GD643" s="29"/>
      <c r="GE643" s="29"/>
      <c r="GF643" s="29"/>
      <c r="GG643" s="29"/>
      <c r="GH643" s="29"/>
      <c r="GI643" s="29"/>
      <c r="GJ643" s="29"/>
      <c r="GK643" s="29"/>
      <c r="GL643" s="29"/>
      <c r="GM643" s="29"/>
      <c r="GN643" s="29"/>
      <c r="GO643" s="29"/>
      <c r="GP643" s="29"/>
      <c r="GQ643" s="29"/>
    </row>
    <row r="644" spans="1:14" s="30" customFormat="1" ht="23.25" customHeight="1">
      <c r="A644" s="12" t="s">
        <v>114</v>
      </c>
      <c r="B644" s="12" t="s">
        <v>516</v>
      </c>
      <c r="C644" s="64" t="s">
        <v>518</v>
      </c>
      <c r="D644" s="12" t="s">
        <v>411</v>
      </c>
      <c r="E644" s="65">
        <v>44196</v>
      </c>
      <c r="F644" s="66">
        <v>44200</v>
      </c>
      <c r="G644" s="66">
        <v>44203</v>
      </c>
      <c r="H644" s="70">
        <v>0.02</v>
      </c>
      <c r="I644" s="113">
        <v>0.1357</v>
      </c>
      <c r="J644" s="113">
        <v>0</v>
      </c>
      <c r="K644" s="113">
        <v>0.1357</v>
      </c>
      <c r="L644" s="60">
        <f>+K644-((K644*0.4903*0.125)+(K644*(1-0.4903)*0.26))</f>
        <v>0.10940005084999999</v>
      </c>
      <c r="M644" s="60">
        <f t="shared" si="23"/>
        <v>0.10940005084999999</v>
      </c>
      <c r="N644" s="67" t="s">
        <v>251</v>
      </c>
    </row>
    <row r="645" spans="1:14" s="30" customFormat="1" ht="23.25" customHeight="1">
      <c r="A645" s="12" t="s">
        <v>120</v>
      </c>
      <c r="B645" s="12" t="s">
        <v>517</v>
      </c>
      <c r="C645" s="64" t="s">
        <v>519</v>
      </c>
      <c r="D645" s="12" t="s">
        <v>411</v>
      </c>
      <c r="E645" s="65">
        <v>44196</v>
      </c>
      <c r="F645" s="66">
        <v>44200</v>
      </c>
      <c r="G645" s="66">
        <v>44203</v>
      </c>
      <c r="H645" s="70">
        <v>0.02</v>
      </c>
      <c r="I645" s="113">
        <v>0.1364</v>
      </c>
      <c r="J645" s="113">
        <v>0</v>
      </c>
      <c r="K645" s="113">
        <v>0.1364</v>
      </c>
      <c r="L645" s="60">
        <f>+K645-((K645*0.4903*0.125)+(K645*(1-0.4903)*0.26))</f>
        <v>0.10996438419999999</v>
      </c>
      <c r="M645" s="60">
        <f t="shared" si="23"/>
        <v>0.10996438419999999</v>
      </c>
      <c r="N645" s="67" t="s">
        <v>251</v>
      </c>
    </row>
    <row r="646" spans="1:14" s="30" customFormat="1" ht="21" customHeight="1">
      <c r="A646" s="12"/>
      <c r="B646" s="12" t="s">
        <v>173</v>
      </c>
      <c r="C646" s="74" t="s">
        <v>372</v>
      </c>
      <c r="D646" s="12" t="s">
        <v>410</v>
      </c>
      <c r="E646" s="65">
        <v>44196</v>
      </c>
      <c r="F646" s="66">
        <v>44200</v>
      </c>
      <c r="G646" s="66">
        <v>44203</v>
      </c>
      <c r="H646" s="67">
        <v>0.01</v>
      </c>
      <c r="I646" s="60">
        <v>0.0131</v>
      </c>
      <c r="J646" s="113">
        <v>0</v>
      </c>
      <c r="K646" s="113">
        <v>0.0131</v>
      </c>
      <c r="L646" s="60">
        <f>+K646-((K646*0.355*0.125)+(K646*(1-0.355)*0.26))</f>
        <v>0.0103218175</v>
      </c>
      <c r="M646" s="60">
        <f t="shared" si="23"/>
        <v>0.0103218175</v>
      </c>
      <c r="N646" s="67" t="s">
        <v>248</v>
      </c>
    </row>
    <row r="647" spans="1:14" s="30" customFormat="1" ht="23.25" customHeight="1">
      <c r="A647" s="12"/>
      <c r="B647" s="12" t="s">
        <v>150</v>
      </c>
      <c r="C647" s="64" t="s">
        <v>377</v>
      </c>
      <c r="D647" s="12" t="s">
        <v>410</v>
      </c>
      <c r="E647" s="65">
        <v>44196</v>
      </c>
      <c r="F647" s="66">
        <v>44200</v>
      </c>
      <c r="G647" s="66">
        <v>44203</v>
      </c>
      <c r="H647" s="67">
        <v>0.0225</v>
      </c>
      <c r="I647" s="60">
        <v>0.0317</v>
      </c>
      <c r="J647" s="113">
        <v>0</v>
      </c>
      <c r="K647" s="113">
        <v>0.0317</v>
      </c>
      <c r="L647" s="60">
        <f>+K647-((K647*0.0000001*0.125)+(K647*(1-0.0000001)*0.26))</f>
        <v>0.023458000427949998</v>
      </c>
      <c r="M647" s="60">
        <f t="shared" si="23"/>
        <v>0.023458000427949998</v>
      </c>
      <c r="N647" s="67" t="s">
        <v>248</v>
      </c>
    </row>
    <row r="648" spans="1:14" s="30" customFormat="1" ht="23.25" customHeight="1">
      <c r="A648" s="12" t="s">
        <v>230</v>
      </c>
      <c r="B648" s="12" t="s">
        <v>513</v>
      </c>
      <c r="C648" s="64" t="s">
        <v>512</v>
      </c>
      <c r="D648" s="12" t="s">
        <v>410</v>
      </c>
      <c r="E648" s="65">
        <v>44196</v>
      </c>
      <c r="F648" s="66">
        <v>44200</v>
      </c>
      <c r="G648" s="66">
        <v>44203</v>
      </c>
      <c r="H648" s="67">
        <v>0.0225</v>
      </c>
      <c r="I648" s="60">
        <v>0.0281</v>
      </c>
      <c r="J648" s="113">
        <v>0</v>
      </c>
      <c r="K648" s="113">
        <v>0.0281</v>
      </c>
      <c r="L648" s="60">
        <f>+K648-((K648*0.0000001*0.125)+(K648*(1-0.0000001)*0.26))</f>
        <v>0.02079400037935</v>
      </c>
      <c r="M648" s="60">
        <v>0</v>
      </c>
      <c r="N648" s="67" t="s">
        <v>248</v>
      </c>
    </row>
    <row r="649" spans="1:199" s="30" customFormat="1" ht="23.25" customHeight="1">
      <c r="A649" s="12"/>
      <c r="B649" s="12" t="s">
        <v>441</v>
      </c>
      <c r="C649" s="64" t="s">
        <v>444</v>
      </c>
      <c r="D649" s="12" t="s">
        <v>410</v>
      </c>
      <c r="E649" s="65">
        <v>44196</v>
      </c>
      <c r="F649" s="66">
        <v>44200</v>
      </c>
      <c r="G649" s="66">
        <v>44203</v>
      </c>
      <c r="H649" s="67">
        <v>0.015</v>
      </c>
      <c r="I649" s="60">
        <v>0.0187</v>
      </c>
      <c r="J649" s="113">
        <v>0</v>
      </c>
      <c r="K649" s="113">
        <v>0.0187</v>
      </c>
      <c r="L649" s="60">
        <f>+K649-((K649*0.2111*0.125)+(K649*(1-0.2111)*0.26))</f>
        <v>0.01437092195</v>
      </c>
      <c r="M649" s="60">
        <f aca="true" t="shared" si="24" ref="M649:M680">J649+L649</f>
        <v>0.01437092195</v>
      </c>
      <c r="N649" s="67" t="s">
        <v>248</v>
      </c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  <c r="EK649" s="29"/>
      <c r="EL649" s="29"/>
      <c r="EM649" s="29"/>
      <c r="EN649" s="29"/>
      <c r="EO649" s="29"/>
      <c r="EP649" s="29"/>
      <c r="EQ649" s="29"/>
      <c r="ER649" s="29"/>
      <c r="ES649" s="29"/>
      <c r="ET649" s="29"/>
      <c r="EU649" s="29"/>
      <c r="EV649" s="29"/>
      <c r="EW649" s="29"/>
      <c r="EX649" s="29"/>
      <c r="EY649" s="29"/>
      <c r="EZ649" s="29"/>
      <c r="FA649" s="29"/>
      <c r="FB649" s="29"/>
      <c r="FC649" s="29"/>
      <c r="FD649" s="29"/>
      <c r="FE649" s="29"/>
      <c r="FF649" s="29"/>
      <c r="FG649" s="29"/>
      <c r="FH649" s="29"/>
      <c r="FI649" s="29"/>
      <c r="FJ649" s="29"/>
      <c r="FK649" s="29"/>
      <c r="FL649" s="29"/>
      <c r="FM649" s="29"/>
      <c r="FN649" s="29"/>
      <c r="FO649" s="29"/>
      <c r="FP649" s="29"/>
      <c r="FQ649" s="29"/>
      <c r="FR649" s="29"/>
      <c r="FS649" s="29"/>
      <c r="FT649" s="29"/>
      <c r="FU649" s="29"/>
      <c r="FV649" s="29"/>
      <c r="FW649" s="29"/>
      <c r="FX649" s="29"/>
      <c r="FY649" s="29"/>
      <c r="FZ649" s="29"/>
      <c r="GA649" s="29"/>
      <c r="GB649" s="29"/>
      <c r="GC649" s="29"/>
      <c r="GD649" s="29"/>
      <c r="GE649" s="29"/>
      <c r="GF649" s="29"/>
      <c r="GG649" s="29"/>
      <c r="GH649" s="29"/>
      <c r="GI649" s="29"/>
      <c r="GJ649" s="29"/>
      <c r="GK649" s="29"/>
      <c r="GL649" s="29"/>
      <c r="GM649" s="29"/>
      <c r="GN649" s="29"/>
      <c r="GO649" s="29"/>
      <c r="GP649" s="29"/>
      <c r="GQ649" s="29"/>
    </row>
    <row r="650" spans="1:14" s="30" customFormat="1" ht="23.25" customHeight="1">
      <c r="A650" s="12"/>
      <c r="B650" s="12" t="s">
        <v>440</v>
      </c>
      <c r="C650" s="64" t="s">
        <v>443</v>
      </c>
      <c r="D650" s="12" t="s">
        <v>410</v>
      </c>
      <c r="E650" s="65">
        <v>44196</v>
      </c>
      <c r="F650" s="66">
        <v>44200</v>
      </c>
      <c r="G650" s="66">
        <v>44203</v>
      </c>
      <c r="H650" s="67">
        <v>0.015</v>
      </c>
      <c r="I650" s="60">
        <v>0.3792</v>
      </c>
      <c r="J650" s="113">
        <v>0</v>
      </c>
      <c r="K650" s="113">
        <v>0.3792</v>
      </c>
      <c r="L650" s="60">
        <f>+K650-((K650*0.2111*0.125)+(K650*(1-0.2111)*0.26))</f>
        <v>0.2914146312</v>
      </c>
      <c r="M650" s="60">
        <f t="shared" si="24"/>
        <v>0.2914146312</v>
      </c>
      <c r="N650" s="67" t="s">
        <v>248</v>
      </c>
    </row>
    <row r="651" spans="1:14" s="29" customFormat="1" ht="23.25" customHeight="1">
      <c r="A651" s="12"/>
      <c r="B651" s="12" t="s">
        <v>299</v>
      </c>
      <c r="C651" s="64" t="s">
        <v>520</v>
      </c>
      <c r="D651" s="12" t="s">
        <v>410</v>
      </c>
      <c r="E651" s="65">
        <v>44196</v>
      </c>
      <c r="F651" s="66">
        <v>44200</v>
      </c>
      <c r="G651" s="66">
        <v>44203</v>
      </c>
      <c r="H651" s="67"/>
      <c r="I651" s="60">
        <v>0.0187</v>
      </c>
      <c r="J651" s="113">
        <v>0.01697195407238696</v>
      </c>
      <c r="K651" s="113">
        <v>0.001728045927613043</v>
      </c>
      <c r="L651" s="60">
        <f>+K651-((K651*0.3305*0.125)+(K651*(1-0.3305)*0.26))</f>
        <v>0.0013558550756089267</v>
      </c>
      <c r="M651" s="60">
        <f t="shared" si="24"/>
        <v>0.018327809147995887</v>
      </c>
      <c r="N651" s="67" t="s">
        <v>248</v>
      </c>
    </row>
    <row r="652" spans="1:14" s="29" customFormat="1" ht="23.25" customHeight="1">
      <c r="A652" s="12"/>
      <c r="B652" s="12" t="s">
        <v>182</v>
      </c>
      <c r="C652" s="69" t="s">
        <v>479</v>
      </c>
      <c r="D652" s="12" t="s">
        <v>410</v>
      </c>
      <c r="E652" s="65">
        <v>44196</v>
      </c>
      <c r="F652" s="66">
        <v>44200</v>
      </c>
      <c r="G652" s="66">
        <v>44203</v>
      </c>
      <c r="H652" s="67">
        <v>0.015</v>
      </c>
      <c r="I652" s="113">
        <v>0.3656</v>
      </c>
      <c r="J652" s="113">
        <v>0.3656</v>
      </c>
      <c r="K652" s="113">
        <v>0</v>
      </c>
      <c r="L652" s="60">
        <f>+K652-((K652*0.3305*0.125)+(K652*(1-0.3305)*0.26))</f>
        <v>0</v>
      </c>
      <c r="M652" s="60">
        <f t="shared" si="24"/>
        <v>0.3656</v>
      </c>
      <c r="N652" s="67" t="s">
        <v>248</v>
      </c>
    </row>
    <row r="653" spans="1:14" s="29" customFormat="1" ht="23.25" customHeight="1">
      <c r="A653" s="12"/>
      <c r="B653" s="12" t="s">
        <v>202</v>
      </c>
      <c r="C653" s="74" t="s">
        <v>480</v>
      </c>
      <c r="D653" s="12" t="s">
        <v>410</v>
      </c>
      <c r="E653" s="65">
        <v>44196</v>
      </c>
      <c r="F653" s="66">
        <v>44200</v>
      </c>
      <c r="G653" s="66">
        <v>44203</v>
      </c>
      <c r="H653" s="67">
        <v>0.015</v>
      </c>
      <c r="I653" s="60">
        <v>0.3681</v>
      </c>
      <c r="J653" s="113">
        <v>0.24886773021606887</v>
      </c>
      <c r="K653" s="113">
        <v>0.11923226978393114</v>
      </c>
      <c r="L653" s="60">
        <f>+K653-((K653*0.3305*0.125)+(K653*(1-0.3305)*0.26))</f>
        <v>0.09355172543719359</v>
      </c>
      <c r="M653" s="60">
        <f t="shared" si="24"/>
        <v>0.3424194556532625</v>
      </c>
      <c r="N653" s="67" t="s">
        <v>248</v>
      </c>
    </row>
    <row r="654" spans="1:14" s="30" customFormat="1" ht="23.25" customHeight="1">
      <c r="A654" s="12" t="s">
        <v>107</v>
      </c>
      <c r="B654" s="12" t="s">
        <v>146</v>
      </c>
      <c r="C654" s="64" t="s">
        <v>380</v>
      </c>
      <c r="D654" s="12" t="s">
        <v>410</v>
      </c>
      <c r="E654" s="65">
        <v>44196</v>
      </c>
      <c r="F654" s="66">
        <v>44200</v>
      </c>
      <c r="G654" s="66">
        <v>44203</v>
      </c>
      <c r="H654" s="67">
        <v>0.025</v>
      </c>
      <c r="I654" s="113">
        <v>0.0395</v>
      </c>
      <c r="J654" s="113">
        <v>0</v>
      </c>
      <c r="K654" s="113">
        <v>0.0395</v>
      </c>
      <c r="L654" s="60">
        <f>+K654-((K654*0.0094*0.125)+(K654*(1-0.0094)*0.26))</f>
        <v>0.029280125499999997</v>
      </c>
      <c r="M654" s="60">
        <f t="shared" si="24"/>
        <v>0.029280125499999997</v>
      </c>
      <c r="N654" s="67" t="s">
        <v>248</v>
      </c>
    </row>
    <row r="655" spans="1:14" s="30" customFormat="1" ht="23.25" customHeight="1">
      <c r="A655" s="12" t="s">
        <v>121</v>
      </c>
      <c r="B655" s="12" t="s">
        <v>163</v>
      </c>
      <c r="C655" s="69" t="s">
        <v>381</v>
      </c>
      <c r="D655" s="12" t="s">
        <v>410</v>
      </c>
      <c r="E655" s="65">
        <v>44196</v>
      </c>
      <c r="F655" s="66">
        <v>44200</v>
      </c>
      <c r="G655" s="66">
        <v>44203</v>
      </c>
      <c r="H655" s="67">
        <v>0.025</v>
      </c>
      <c r="I655" s="113">
        <v>0.0357</v>
      </c>
      <c r="J655" s="113">
        <v>0</v>
      </c>
      <c r="K655" s="113">
        <v>0.0357</v>
      </c>
      <c r="L655" s="60">
        <f>+K655-((K655*0.0094*0.125)+(K655*(1-0.0094)*0.26))</f>
        <v>0.0264633033</v>
      </c>
      <c r="M655" s="60">
        <f t="shared" si="24"/>
        <v>0.0264633033</v>
      </c>
      <c r="N655" s="67" t="s">
        <v>248</v>
      </c>
    </row>
    <row r="656" spans="1:14" s="30" customFormat="1" ht="23.25" customHeight="1">
      <c r="A656" s="12" t="s">
        <v>73</v>
      </c>
      <c r="B656" s="12" t="s">
        <v>151</v>
      </c>
      <c r="C656" s="64" t="s">
        <v>383</v>
      </c>
      <c r="D656" s="12" t="s">
        <v>410</v>
      </c>
      <c r="E656" s="65">
        <v>44196</v>
      </c>
      <c r="F656" s="66">
        <v>44200</v>
      </c>
      <c r="G656" s="66">
        <v>44203</v>
      </c>
      <c r="H656" s="67">
        <v>0.023</v>
      </c>
      <c r="I656" s="113">
        <v>0.0288</v>
      </c>
      <c r="J656" s="113">
        <v>0</v>
      </c>
      <c r="K656" s="113">
        <v>0.0288</v>
      </c>
      <c r="L656" s="60">
        <f>+K656-((K656*0.0509*0.125)+(K656*(1-0.0509)*0.26))</f>
        <v>0.021509899199999998</v>
      </c>
      <c r="M656" s="60">
        <f t="shared" si="24"/>
        <v>0.021509899199999998</v>
      </c>
      <c r="N656" s="67" t="s">
        <v>248</v>
      </c>
    </row>
    <row r="657" spans="1:14" s="30" customFormat="1" ht="23.25" customHeight="1">
      <c r="A657" s="12" t="s">
        <v>40</v>
      </c>
      <c r="B657" s="12" t="s">
        <v>166</v>
      </c>
      <c r="C657" s="69" t="s">
        <v>384</v>
      </c>
      <c r="D657" s="12" t="s">
        <v>410</v>
      </c>
      <c r="E657" s="65">
        <v>44196</v>
      </c>
      <c r="F657" s="66">
        <v>44200</v>
      </c>
      <c r="G657" s="66">
        <v>44203</v>
      </c>
      <c r="H657" s="67">
        <v>0.023</v>
      </c>
      <c r="I657" s="113">
        <v>0.0288</v>
      </c>
      <c r="J657" s="113">
        <v>0</v>
      </c>
      <c r="K657" s="113">
        <v>0.0288</v>
      </c>
      <c r="L657" s="60">
        <f>+K657-((K657*0.0509*0.125)+(K657*(1-0.0509)*0.26))</f>
        <v>0.021509899199999998</v>
      </c>
      <c r="M657" s="60">
        <f t="shared" si="24"/>
        <v>0.021509899199999998</v>
      </c>
      <c r="N657" s="67" t="s">
        <v>248</v>
      </c>
    </row>
    <row r="658" spans="1:14" s="30" customFormat="1" ht="23.25" customHeight="1">
      <c r="A658" s="12" t="s">
        <v>108</v>
      </c>
      <c r="B658" s="12" t="s">
        <v>149</v>
      </c>
      <c r="C658" s="64" t="s">
        <v>386</v>
      </c>
      <c r="D658" s="12" t="s">
        <v>410</v>
      </c>
      <c r="E658" s="65">
        <v>44196</v>
      </c>
      <c r="F658" s="66">
        <v>44200</v>
      </c>
      <c r="G658" s="66">
        <v>44203</v>
      </c>
      <c r="H658" s="67">
        <v>0.05</v>
      </c>
      <c r="I658" s="113">
        <v>0.0764</v>
      </c>
      <c r="J658" s="113">
        <v>0</v>
      </c>
      <c r="K658" s="113">
        <v>0.0764</v>
      </c>
      <c r="L658" s="60">
        <f>+K658-((K658*0.0921*0.125)+(K658*(1-0.921)*0.26))</f>
        <v>0.073951189</v>
      </c>
      <c r="M658" s="60">
        <f t="shared" si="24"/>
        <v>0.073951189</v>
      </c>
      <c r="N658" s="67" t="s">
        <v>248</v>
      </c>
    </row>
    <row r="659" spans="1:14" s="30" customFormat="1" ht="23.25" customHeight="1">
      <c r="A659" s="12" t="s">
        <v>72</v>
      </c>
      <c r="B659" s="12" t="s">
        <v>165</v>
      </c>
      <c r="C659" s="69" t="s">
        <v>387</v>
      </c>
      <c r="D659" s="12" t="s">
        <v>410</v>
      </c>
      <c r="E659" s="65">
        <v>44196</v>
      </c>
      <c r="F659" s="66">
        <v>44200</v>
      </c>
      <c r="G659" s="66">
        <v>44203</v>
      </c>
      <c r="H659" s="67">
        <v>0.05</v>
      </c>
      <c r="I659" s="113">
        <v>0.0722</v>
      </c>
      <c r="J659" s="113">
        <v>0</v>
      </c>
      <c r="K659" s="113">
        <v>0.0722</v>
      </c>
      <c r="L659" s="60">
        <f>+K659-((K659*0.0921*0.125)+(K659*(1-0.921)*0.26))</f>
        <v>0.0698858095</v>
      </c>
      <c r="M659" s="60">
        <f t="shared" si="24"/>
        <v>0.0698858095</v>
      </c>
      <c r="N659" s="67" t="s">
        <v>248</v>
      </c>
    </row>
    <row r="660" spans="1:14" s="30" customFormat="1" ht="23.25" customHeight="1">
      <c r="A660" s="12" t="s">
        <v>39</v>
      </c>
      <c r="B660" s="12" t="s">
        <v>153</v>
      </c>
      <c r="C660" s="64" t="s">
        <v>394</v>
      </c>
      <c r="D660" s="12" t="s">
        <v>410</v>
      </c>
      <c r="E660" s="65">
        <v>44196</v>
      </c>
      <c r="F660" s="66">
        <v>44200</v>
      </c>
      <c r="G660" s="66">
        <v>44203</v>
      </c>
      <c r="H660" s="67">
        <v>0.025</v>
      </c>
      <c r="I660" s="113">
        <v>0.0301</v>
      </c>
      <c r="J660" s="113">
        <v>0</v>
      </c>
      <c r="K660" s="113">
        <v>0.0301</v>
      </c>
      <c r="L660" s="60">
        <f>+K660-((K660*0.1243*0.125)+(K660*(1-0.1243)*0.26))</f>
        <v>0.022779093049999997</v>
      </c>
      <c r="M660" s="60">
        <f t="shared" si="24"/>
        <v>0.022779093049999997</v>
      </c>
      <c r="N660" s="67" t="s">
        <v>248</v>
      </c>
    </row>
    <row r="661" spans="1:14" s="30" customFormat="1" ht="23.25" customHeight="1">
      <c r="A661" s="12" t="s">
        <v>76</v>
      </c>
      <c r="B661" s="12" t="s">
        <v>152</v>
      </c>
      <c r="C661" s="64" t="s">
        <v>395</v>
      </c>
      <c r="D661" s="12" t="s">
        <v>410</v>
      </c>
      <c r="E661" s="65">
        <v>44196</v>
      </c>
      <c r="F661" s="66">
        <v>44200</v>
      </c>
      <c r="G661" s="66">
        <v>44203</v>
      </c>
      <c r="H661" s="67">
        <v>0.025</v>
      </c>
      <c r="I661" s="113">
        <v>0.0406</v>
      </c>
      <c r="J661" s="113">
        <v>0</v>
      </c>
      <c r="K661" s="113">
        <v>0.0406</v>
      </c>
      <c r="L661" s="60">
        <f>+K661-((K661*0.1243*0.125)+(K661*(1-0.1243)*0.26))</f>
        <v>0.030725288299999997</v>
      </c>
      <c r="M661" s="60">
        <f t="shared" si="24"/>
        <v>0.030725288299999997</v>
      </c>
      <c r="N661" s="67" t="s">
        <v>248</v>
      </c>
    </row>
    <row r="662" spans="1:199" s="30" customFormat="1" ht="23.25" customHeight="1">
      <c r="A662" s="12" t="s">
        <v>109</v>
      </c>
      <c r="B662" s="12" t="s">
        <v>167</v>
      </c>
      <c r="C662" s="69" t="s">
        <v>396</v>
      </c>
      <c r="D662" s="12" t="s">
        <v>410</v>
      </c>
      <c r="E662" s="65">
        <v>44196</v>
      </c>
      <c r="F662" s="66">
        <v>44200</v>
      </c>
      <c r="G662" s="66">
        <v>44203</v>
      </c>
      <c r="H662" s="67">
        <v>0.025</v>
      </c>
      <c r="I662" s="113">
        <v>0.0392</v>
      </c>
      <c r="J662" s="113">
        <v>0</v>
      </c>
      <c r="K662" s="113">
        <v>0.0392</v>
      </c>
      <c r="L662" s="60">
        <f>+K662-((K662*0.1243*0.125)+(K662*(1-0.1243)*0.26))</f>
        <v>0.0296657956</v>
      </c>
      <c r="M662" s="60">
        <f t="shared" si="24"/>
        <v>0.0296657956</v>
      </c>
      <c r="N662" s="67" t="s">
        <v>248</v>
      </c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  <c r="EG662" s="29"/>
      <c r="EH662" s="29"/>
      <c r="EI662" s="29"/>
      <c r="EJ662" s="29"/>
      <c r="EK662" s="29"/>
      <c r="EL662" s="29"/>
      <c r="EM662" s="29"/>
      <c r="EN662" s="29"/>
      <c r="EO662" s="29"/>
      <c r="EP662" s="29"/>
      <c r="EQ662" s="29"/>
      <c r="ER662" s="29"/>
      <c r="ES662" s="29"/>
      <c r="ET662" s="29"/>
      <c r="EU662" s="29"/>
      <c r="EV662" s="29"/>
      <c r="EW662" s="29"/>
      <c r="EX662" s="29"/>
      <c r="EY662" s="29"/>
      <c r="EZ662" s="29"/>
      <c r="FA662" s="29"/>
      <c r="FB662" s="29"/>
      <c r="FC662" s="29"/>
      <c r="FD662" s="29"/>
      <c r="FE662" s="29"/>
      <c r="FF662" s="29"/>
      <c r="FG662" s="29"/>
      <c r="FH662" s="29"/>
      <c r="FI662" s="29"/>
      <c r="FJ662" s="29"/>
      <c r="FK662" s="29"/>
      <c r="FL662" s="29"/>
      <c r="FM662" s="29"/>
      <c r="FN662" s="29"/>
      <c r="FO662" s="29"/>
      <c r="FP662" s="29"/>
      <c r="FQ662" s="29"/>
      <c r="FR662" s="29"/>
      <c r="FS662" s="29"/>
      <c r="FT662" s="29"/>
      <c r="FU662" s="29"/>
      <c r="FV662" s="29"/>
      <c r="FW662" s="29"/>
      <c r="FX662" s="29"/>
      <c r="FY662" s="29"/>
      <c r="FZ662" s="29"/>
      <c r="GA662" s="29"/>
      <c r="GB662" s="29"/>
      <c r="GC662" s="29"/>
      <c r="GD662" s="29"/>
      <c r="GE662" s="29"/>
      <c r="GF662" s="29"/>
      <c r="GG662" s="29"/>
      <c r="GH662" s="29"/>
      <c r="GI662" s="29"/>
      <c r="GJ662" s="29"/>
      <c r="GK662" s="29"/>
      <c r="GL662" s="29"/>
      <c r="GM662" s="29"/>
      <c r="GN662" s="29"/>
      <c r="GO662" s="29"/>
      <c r="GP662" s="29"/>
      <c r="GQ662" s="29"/>
    </row>
    <row r="663" spans="1:199" s="30" customFormat="1" ht="23.25" customHeight="1">
      <c r="A663" s="12" t="s">
        <v>75</v>
      </c>
      <c r="B663" s="12" t="s">
        <v>301</v>
      </c>
      <c r="C663" s="64" t="s">
        <v>407</v>
      </c>
      <c r="D663" s="12" t="s">
        <v>410</v>
      </c>
      <c r="E663" s="65">
        <v>44196</v>
      </c>
      <c r="F663" s="66">
        <v>44200</v>
      </c>
      <c r="G663" s="66">
        <v>44203</v>
      </c>
      <c r="H663" s="67">
        <v>0.025</v>
      </c>
      <c r="I663" s="113">
        <v>0.0309</v>
      </c>
      <c r="J663" s="113">
        <v>0</v>
      </c>
      <c r="K663" s="113">
        <v>0.0309</v>
      </c>
      <c r="L663" s="60">
        <f>+K663-((K663*0.1243*0.125)+(K663*(1-0.1243)*0.26))</f>
        <v>0.02338451745</v>
      </c>
      <c r="M663" s="60">
        <f t="shared" si="24"/>
        <v>0.02338451745</v>
      </c>
      <c r="N663" s="67" t="s">
        <v>248</v>
      </c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  <c r="EG663" s="29"/>
      <c r="EH663" s="29"/>
      <c r="EI663" s="29"/>
      <c r="EJ663" s="29"/>
      <c r="EK663" s="29"/>
      <c r="EL663" s="29"/>
      <c r="EM663" s="29"/>
      <c r="EN663" s="29"/>
      <c r="EO663" s="29"/>
      <c r="EP663" s="29"/>
      <c r="EQ663" s="29"/>
      <c r="ER663" s="29"/>
      <c r="ES663" s="29"/>
      <c r="ET663" s="29"/>
      <c r="EU663" s="29"/>
      <c r="EV663" s="29"/>
      <c r="EW663" s="29"/>
      <c r="EX663" s="29"/>
      <c r="EY663" s="29"/>
      <c r="EZ663" s="29"/>
      <c r="FA663" s="29"/>
      <c r="FB663" s="29"/>
      <c r="FC663" s="29"/>
      <c r="FD663" s="29"/>
      <c r="FE663" s="29"/>
      <c r="FF663" s="29"/>
      <c r="FG663" s="29"/>
      <c r="FH663" s="29"/>
      <c r="FI663" s="29"/>
      <c r="FJ663" s="29"/>
      <c r="FK663" s="29"/>
      <c r="FL663" s="29"/>
      <c r="FM663" s="29"/>
      <c r="FN663" s="29"/>
      <c r="FO663" s="29"/>
      <c r="FP663" s="29"/>
      <c r="FQ663" s="29"/>
      <c r="FR663" s="29"/>
      <c r="FS663" s="29"/>
      <c r="FT663" s="29"/>
      <c r="FU663" s="29"/>
      <c r="FV663" s="29"/>
      <c r="FW663" s="29"/>
      <c r="FX663" s="29"/>
      <c r="FY663" s="29"/>
      <c r="FZ663" s="29"/>
      <c r="GA663" s="29"/>
      <c r="GB663" s="29"/>
      <c r="GC663" s="29"/>
      <c r="GD663" s="29"/>
      <c r="GE663" s="29"/>
      <c r="GF663" s="29"/>
      <c r="GG663" s="29"/>
      <c r="GH663" s="29"/>
      <c r="GI663" s="29"/>
      <c r="GJ663" s="29"/>
      <c r="GK663" s="29"/>
      <c r="GL663" s="29"/>
      <c r="GM663" s="29"/>
      <c r="GN663" s="29"/>
      <c r="GO663" s="29"/>
      <c r="GP663" s="29"/>
      <c r="GQ663" s="29"/>
    </row>
    <row r="664" spans="1:199" s="30" customFormat="1" ht="23.25" customHeight="1">
      <c r="A664" s="12" t="s">
        <v>37</v>
      </c>
      <c r="B664" s="12" t="s">
        <v>304</v>
      </c>
      <c r="C664" s="64" t="s">
        <v>408</v>
      </c>
      <c r="D664" s="12" t="s">
        <v>410</v>
      </c>
      <c r="E664" s="65">
        <v>44196</v>
      </c>
      <c r="F664" s="66">
        <v>44200</v>
      </c>
      <c r="G664" s="66">
        <v>44203</v>
      </c>
      <c r="H664" s="70">
        <v>0.0225</v>
      </c>
      <c r="I664" s="113">
        <v>0.0278</v>
      </c>
      <c r="J664" s="113">
        <v>0</v>
      </c>
      <c r="K664" s="113">
        <v>0.0278</v>
      </c>
      <c r="L664" s="60">
        <f>+K664-((K664*0.1466*0.125)+(K664*(1-0.1466)*0.26))</f>
        <v>0.0211221898</v>
      </c>
      <c r="M664" s="60">
        <f t="shared" si="24"/>
        <v>0.0211221898</v>
      </c>
      <c r="N664" s="67" t="s">
        <v>248</v>
      </c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  <c r="DM664" s="29"/>
      <c r="DN664" s="29"/>
      <c r="DO664" s="29"/>
      <c r="DP664" s="29"/>
      <c r="DQ664" s="29"/>
      <c r="DR664" s="29"/>
      <c r="DS664" s="29"/>
      <c r="DT664" s="29"/>
      <c r="DU664" s="29"/>
      <c r="DV664" s="29"/>
      <c r="DW664" s="29"/>
      <c r="DX664" s="29"/>
      <c r="DY664" s="29"/>
      <c r="DZ664" s="29"/>
      <c r="EA664" s="29"/>
      <c r="EB664" s="29"/>
      <c r="EC664" s="29"/>
      <c r="ED664" s="29"/>
      <c r="EE664" s="29"/>
      <c r="EF664" s="29"/>
      <c r="EG664" s="29"/>
      <c r="EH664" s="29"/>
      <c r="EI664" s="29"/>
      <c r="EJ664" s="29"/>
      <c r="EK664" s="29"/>
      <c r="EL664" s="29"/>
      <c r="EM664" s="29"/>
      <c r="EN664" s="29"/>
      <c r="EO664" s="29"/>
      <c r="EP664" s="29"/>
      <c r="EQ664" s="29"/>
      <c r="ER664" s="29"/>
      <c r="ES664" s="29"/>
      <c r="ET664" s="29"/>
      <c r="EU664" s="29"/>
      <c r="EV664" s="29"/>
      <c r="EW664" s="29"/>
      <c r="EX664" s="29"/>
      <c r="EY664" s="29"/>
      <c r="EZ664" s="29"/>
      <c r="FA664" s="29"/>
      <c r="FB664" s="29"/>
      <c r="FC664" s="29"/>
      <c r="FD664" s="29"/>
      <c r="FE664" s="29"/>
      <c r="FF664" s="29"/>
      <c r="FG664" s="29"/>
      <c r="FH664" s="29"/>
      <c r="FI664" s="29"/>
      <c r="FJ664" s="29"/>
      <c r="FK664" s="29"/>
      <c r="FL664" s="29"/>
      <c r="FM664" s="29"/>
      <c r="FN664" s="29"/>
      <c r="FO664" s="29"/>
      <c r="FP664" s="29"/>
      <c r="FQ664" s="29"/>
      <c r="FR664" s="29"/>
      <c r="FS664" s="29"/>
      <c r="FT664" s="29"/>
      <c r="FU664" s="29"/>
      <c r="FV664" s="29"/>
      <c r="FW664" s="29"/>
      <c r="FX664" s="29"/>
      <c r="FY664" s="29"/>
      <c r="FZ664" s="29"/>
      <c r="GA664" s="29"/>
      <c r="GB664" s="29"/>
      <c r="GC664" s="29"/>
      <c r="GD664" s="29"/>
      <c r="GE664" s="29"/>
      <c r="GF664" s="29"/>
      <c r="GG664" s="29"/>
      <c r="GH664" s="29"/>
      <c r="GI664" s="29"/>
      <c r="GJ664" s="29"/>
      <c r="GK664" s="29"/>
      <c r="GL664" s="29"/>
      <c r="GM664" s="29"/>
      <c r="GN664" s="29"/>
      <c r="GO664" s="29"/>
      <c r="GP664" s="29"/>
      <c r="GQ664" s="29"/>
    </row>
    <row r="665" spans="1:199" s="30" customFormat="1" ht="23.25" customHeight="1">
      <c r="A665" s="12" t="s">
        <v>111</v>
      </c>
      <c r="B665" s="12" t="s">
        <v>183</v>
      </c>
      <c r="C665" s="69" t="s">
        <v>398</v>
      </c>
      <c r="D665" s="12" t="s">
        <v>410</v>
      </c>
      <c r="E665" s="65">
        <v>44196</v>
      </c>
      <c r="F665" s="66">
        <v>44200</v>
      </c>
      <c r="G665" s="66">
        <v>44203</v>
      </c>
      <c r="H665" s="70">
        <v>0.0225</v>
      </c>
      <c r="I665" s="113">
        <v>0.0279</v>
      </c>
      <c r="J665" s="113">
        <v>0</v>
      </c>
      <c r="K665" s="113">
        <v>0.0279</v>
      </c>
      <c r="L665" s="60">
        <f>+K665-((K665*0.1466*0.125)+(K665*(1-0.1466)*0.26))</f>
        <v>0.0211981689</v>
      </c>
      <c r="M665" s="60">
        <f t="shared" si="24"/>
        <v>0.0211981689</v>
      </c>
      <c r="N665" s="67" t="s">
        <v>248</v>
      </c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  <c r="EG665" s="29"/>
      <c r="EH665" s="29"/>
      <c r="EI665" s="29"/>
      <c r="EJ665" s="29"/>
      <c r="EK665" s="29"/>
      <c r="EL665" s="29"/>
      <c r="EM665" s="29"/>
      <c r="EN665" s="29"/>
      <c r="EO665" s="29"/>
      <c r="EP665" s="29"/>
      <c r="EQ665" s="29"/>
      <c r="ER665" s="29"/>
      <c r="ES665" s="29"/>
      <c r="ET665" s="29"/>
      <c r="EU665" s="29"/>
      <c r="EV665" s="29"/>
      <c r="EW665" s="29"/>
      <c r="EX665" s="29"/>
      <c r="EY665" s="29"/>
      <c r="EZ665" s="29"/>
      <c r="FA665" s="29"/>
      <c r="FB665" s="29"/>
      <c r="FC665" s="29"/>
      <c r="FD665" s="29"/>
      <c r="FE665" s="29"/>
      <c r="FF665" s="29"/>
      <c r="FG665" s="29"/>
      <c r="FH665" s="29"/>
      <c r="FI665" s="29"/>
      <c r="FJ665" s="29"/>
      <c r="FK665" s="29"/>
      <c r="FL665" s="29"/>
      <c r="FM665" s="29"/>
      <c r="FN665" s="29"/>
      <c r="FO665" s="29"/>
      <c r="FP665" s="29"/>
      <c r="FQ665" s="29"/>
      <c r="FR665" s="29"/>
      <c r="FS665" s="29"/>
      <c r="FT665" s="29"/>
      <c r="FU665" s="29"/>
      <c r="FV665" s="29"/>
      <c r="FW665" s="29"/>
      <c r="FX665" s="29"/>
      <c r="FY665" s="29"/>
      <c r="FZ665" s="29"/>
      <c r="GA665" s="29"/>
      <c r="GB665" s="29"/>
      <c r="GC665" s="29"/>
      <c r="GD665" s="29"/>
      <c r="GE665" s="29"/>
      <c r="GF665" s="29"/>
      <c r="GG665" s="29"/>
      <c r="GH665" s="29"/>
      <c r="GI665" s="29"/>
      <c r="GJ665" s="29"/>
      <c r="GK665" s="29"/>
      <c r="GL665" s="29"/>
      <c r="GM665" s="29"/>
      <c r="GN665" s="29"/>
      <c r="GO665" s="29"/>
      <c r="GP665" s="29"/>
      <c r="GQ665" s="29"/>
    </row>
    <row r="666" spans="1:14" s="30" customFormat="1" ht="23.25" customHeight="1">
      <c r="A666" s="12" t="s">
        <v>110</v>
      </c>
      <c r="B666" s="12" t="s">
        <v>313</v>
      </c>
      <c r="C666" s="64" t="s">
        <v>429</v>
      </c>
      <c r="D666" s="12" t="s">
        <v>411</v>
      </c>
      <c r="E666" s="65">
        <v>44196</v>
      </c>
      <c r="F666" s="66">
        <v>44200</v>
      </c>
      <c r="G666" s="66">
        <v>44203</v>
      </c>
      <c r="H666" s="70">
        <v>0.0225</v>
      </c>
      <c r="I666" s="113">
        <v>0.0093</v>
      </c>
      <c r="J666" s="113">
        <v>0</v>
      </c>
      <c r="K666" s="113">
        <v>0.0093</v>
      </c>
      <c r="L666" s="60">
        <f>+K666-((K666*0.1466*0.125)+(K666*(1-0.1466)*0.26))</f>
        <v>0.0070660563</v>
      </c>
      <c r="M666" s="60">
        <f t="shared" si="24"/>
        <v>0.0070660563</v>
      </c>
      <c r="N666" s="67" t="s">
        <v>251</v>
      </c>
    </row>
    <row r="667" spans="1:14" s="30" customFormat="1" ht="24.75" customHeight="1">
      <c r="A667" s="12" t="s">
        <v>112</v>
      </c>
      <c r="B667" s="12" t="s">
        <v>305</v>
      </c>
      <c r="C667" s="64" t="s">
        <v>409</v>
      </c>
      <c r="D667" s="12" t="s">
        <v>410</v>
      </c>
      <c r="E667" s="65">
        <v>44196</v>
      </c>
      <c r="F667" s="66">
        <v>44200</v>
      </c>
      <c r="G667" s="66">
        <v>44203</v>
      </c>
      <c r="H667" s="70">
        <v>0.0225</v>
      </c>
      <c r="I667" s="113">
        <v>0.028</v>
      </c>
      <c r="J667" s="113">
        <v>0</v>
      </c>
      <c r="K667" s="113">
        <v>0.028</v>
      </c>
      <c r="L667" s="60">
        <f>+K667-((K667*0.1466*0.125)+(K667*(1-0.1466)*0.26))</f>
        <v>0.021274148</v>
      </c>
      <c r="M667" s="60">
        <f t="shared" si="24"/>
        <v>0.021274148</v>
      </c>
      <c r="N667" s="67" t="s">
        <v>248</v>
      </c>
    </row>
    <row r="668" spans="1:199" s="30" customFormat="1" ht="26.25" customHeight="1">
      <c r="A668" s="12" t="s">
        <v>99</v>
      </c>
      <c r="B668" s="12" t="s">
        <v>147</v>
      </c>
      <c r="C668" s="64" t="s">
        <v>468</v>
      </c>
      <c r="D668" s="12" t="s">
        <v>410</v>
      </c>
      <c r="E668" s="65">
        <v>44196</v>
      </c>
      <c r="F668" s="66">
        <v>44200</v>
      </c>
      <c r="G668" s="66">
        <v>44203</v>
      </c>
      <c r="H668" s="67">
        <v>0.023</v>
      </c>
      <c r="I668" s="60">
        <v>0.3681</v>
      </c>
      <c r="J668" s="113">
        <v>0</v>
      </c>
      <c r="K668" s="113">
        <v>0.0313</v>
      </c>
      <c r="L668" s="60">
        <f>+K668-((K668*0.127*0.125)+(K668*(1-0.127)*0.26))</f>
        <v>0.0236986385</v>
      </c>
      <c r="M668" s="60">
        <f t="shared" si="24"/>
        <v>0.0236986385</v>
      </c>
      <c r="N668" s="67" t="s">
        <v>248</v>
      </c>
      <c r="GP668" s="94"/>
      <c r="GQ668" s="94"/>
    </row>
    <row r="669" spans="1:252" s="30" customFormat="1" ht="26.25" customHeight="1">
      <c r="A669" s="12"/>
      <c r="B669" s="12" t="s">
        <v>164</v>
      </c>
      <c r="C669" s="69" t="s">
        <v>469</v>
      </c>
      <c r="D669" s="12" t="s">
        <v>410</v>
      </c>
      <c r="E669" s="65">
        <v>44196</v>
      </c>
      <c r="F669" s="66">
        <v>44200</v>
      </c>
      <c r="G669" s="66">
        <v>44203</v>
      </c>
      <c r="H669" s="67">
        <v>0.023</v>
      </c>
      <c r="I669" s="60">
        <v>0.0395</v>
      </c>
      <c r="J669" s="113">
        <v>0</v>
      </c>
      <c r="K669" s="113">
        <v>0.0295</v>
      </c>
      <c r="L669" s="60">
        <f>+K669-((K669*0.127*0.125)+(K669*(1-0.127)*0.26))</f>
        <v>0.022335777499999997</v>
      </c>
      <c r="M669" s="60">
        <f t="shared" si="24"/>
        <v>0.022335777499999997</v>
      </c>
      <c r="N669" s="67" t="s">
        <v>248</v>
      </c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  <c r="CD669" s="95"/>
      <c r="CE669" s="95"/>
      <c r="CF669" s="95"/>
      <c r="CG669" s="95"/>
      <c r="CH669" s="95"/>
      <c r="CI669" s="95"/>
      <c r="CJ669" s="95"/>
      <c r="CK669" s="95"/>
      <c r="CL669" s="95"/>
      <c r="CM669" s="95"/>
      <c r="CN669" s="95"/>
      <c r="CO669" s="95"/>
      <c r="CP669" s="95"/>
      <c r="CQ669" s="95"/>
      <c r="CR669" s="95"/>
      <c r="CS669" s="95"/>
      <c r="CT669" s="95"/>
      <c r="CU669" s="95"/>
      <c r="CV669" s="95"/>
      <c r="CW669" s="95"/>
      <c r="CX669" s="95"/>
      <c r="CY669" s="95"/>
      <c r="CZ669" s="95"/>
      <c r="DA669" s="95"/>
      <c r="DB669" s="95"/>
      <c r="DC669" s="95"/>
      <c r="DD669" s="95"/>
      <c r="DE669" s="95"/>
      <c r="DF669" s="95"/>
      <c r="DG669" s="95"/>
      <c r="DH669" s="95"/>
      <c r="DI669" s="95"/>
      <c r="DJ669" s="95"/>
      <c r="DK669" s="95"/>
      <c r="DL669" s="95"/>
      <c r="DM669" s="95"/>
      <c r="DN669" s="95"/>
      <c r="DO669" s="95"/>
      <c r="DP669" s="95"/>
      <c r="DQ669" s="95"/>
      <c r="DR669" s="95"/>
      <c r="DS669" s="95"/>
      <c r="DT669" s="95"/>
      <c r="DU669" s="95"/>
      <c r="DV669" s="95"/>
      <c r="DW669" s="95"/>
      <c r="DX669" s="95"/>
      <c r="DY669" s="95"/>
      <c r="DZ669" s="95"/>
      <c r="EA669" s="95"/>
      <c r="EB669" s="95"/>
      <c r="EC669" s="95"/>
      <c r="ED669" s="95"/>
      <c r="EE669" s="95"/>
      <c r="EF669" s="95"/>
      <c r="EG669" s="95"/>
      <c r="EH669" s="95"/>
      <c r="EI669" s="95"/>
      <c r="EJ669" s="95"/>
      <c r="EK669" s="95"/>
      <c r="EL669" s="95"/>
      <c r="EM669" s="95"/>
      <c r="EN669" s="95"/>
      <c r="EO669" s="95"/>
      <c r="EP669" s="95"/>
      <c r="EQ669" s="95"/>
      <c r="ER669" s="95"/>
      <c r="ES669" s="95"/>
      <c r="ET669" s="95"/>
      <c r="EU669" s="95"/>
      <c r="EV669" s="95"/>
      <c r="EW669" s="95"/>
      <c r="EX669" s="95"/>
      <c r="EY669" s="95"/>
      <c r="EZ669" s="95"/>
      <c r="FA669" s="95"/>
      <c r="FB669" s="95"/>
      <c r="FC669" s="95"/>
      <c r="FD669" s="95"/>
      <c r="FE669" s="95"/>
      <c r="FF669" s="95"/>
      <c r="FG669" s="95"/>
      <c r="FH669" s="95"/>
      <c r="FI669" s="95"/>
      <c r="FJ669" s="95"/>
      <c r="FK669" s="95"/>
      <c r="FL669" s="95"/>
      <c r="FM669" s="95"/>
      <c r="FN669" s="95"/>
      <c r="FO669" s="95"/>
      <c r="FP669" s="95"/>
      <c r="FQ669" s="95"/>
      <c r="FR669" s="95"/>
      <c r="FS669" s="95"/>
      <c r="FT669" s="95"/>
      <c r="FU669" s="95"/>
      <c r="FV669" s="95"/>
      <c r="FW669" s="95"/>
      <c r="FX669" s="95"/>
      <c r="FY669" s="95"/>
      <c r="FZ669" s="95"/>
      <c r="GA669" s="95"/>
      <c r="GB669" s="95"/>
      <c r="GC669" s="95"/>
      <c r="GD669" s="95"/>
      <c r="GE669" s="95"/>
      <c r="GF669" s="95"/>
      <c r="GG669" s="95"/>
      <c r="GH669" s="95"/>
      <c r="GI669" s="95"/>
      <c r="GJ669" s="95"/>
      <c r="GK669" s="95"/>
      <c r="GL669" s="95"/>
      <c r="GM669" s="95"/>
      <c r="GN669" s="95"/>
      <c r="GO669" s="95"/>
      <c r="GP669" s="95"/>
      <c r="GQ669" s="95"/>
      <c r="GR669" s="29"/>
      <c r="GS669" s="29"/>
      <c r="GT669" s="29"/>
      <c r="GU669" s="29"/>
      <c r="GV669" s="29"/>
      <c r="GW669" s="29"/>
      <c r="GX669" s="29"/>
      <c r="GY669" s="29"/>
      <c r="GZ669" s="29"/>
      <c r="HA669" s="29"/>
      <c r="HB669" s="29"/>
      <c r="HC669" s="29"/>
      <c r="HD669" s="29"/>
      <c r="HE669" s="29"/>
      <c r="HF669" s="29"/>
      <c r="HG669" s="29"/>
      <c r="HH669" s="29"/>
      <c r="HI669" s="29"/>
      <c r="HJ669" s="29"/>
      <c r="HK669" s="29"/>
      <c r="HL669" s="29"/>
      <c r="HM669" s="29"/>
      <c r="HN669" s="29"/>
      <c r="HO669" s="29"/>
      <c r="HP669" s="29"/>
      <c r="HQ669" s="29"/>
      <c r="HR669" s="29"/>
      <c r="HS669" s="29"/>
      <c r="HT669" s="29"/>
      <c r="HU669" s="29"/>
      <c r="HV669" s="29"/>
      <c r="HW669" s="29"/>
      <c r="HX669" s="29"/>
      <c r="HY669" s="29"/>
      <c r="HZ669" s="29"/>
      <c r="IA669" s="29"/>
      <c r="IB669" s="29"/>
      <c r="IC669" s="29"/>
      <c r="ID669" s="29"/>
      <c r="IE669" s="29"/>
      <c r="IF669" s="29"/>
      <c r="IG669" s="29"/>
      <c r="IH669" s="29"/>
      <c r="II669" s="29"/>
      <c r="IJ669" s="29"/>
      <c r="IK669" s="29"/>
      <c r="IL669" s="29"/>
      <c r="IM669" s="29"/>
      <c r="IN669" s="29"/>
      <c r="IO669" s="29"/>
      <c r="IP669" s="29"/>
      <c r="IQ669" s="29"/>
      <c r="IR669" s="29"/>
    </row>
    <row r="670" spans="1:14" ht="26.25" customHeight="1">
      <c r="A670" s="119" t="s">
        <v>74</v>
      </c>
      <c r="B670" s="12" t="s">
        <v>132</v>
      </c>
      <c r="C670" s="64" t="s">
        <v>358</v>
      </c>
      <c r="D670" s="12" t="s">
        <v>410</v>
      </c>
      <c r="E670" s="65">
        <v>44221</v>
      </c>
      <c r="F670" s="66">
        <v>44222</v>
      </c>
      <c r="G670" s="66">
        <v>44225</v>
      </c>
      <c r="H670" s="67">
        <v>0.03</v>
      </c>
      <c r="I670" s="60">
        <v>0.0354</v>
      </c>
      <c r="J670" s="113">
        <v>0</v>
      </c>
      <c r="K670" s="113">
        <v>0.0354</v>
      </c>
      <c r="L670" s="60">
        <f>+K670-((K670*0.282*0.125)+(K670*(1-0.282)*0.26))</f>
        <v>0.027543678000000002</v>
      </c>
      <c r="M670" s="60">
        <f t="shared" si="24"/>
        <v>0.027543678000000002</v>
      </c>
      <c r="N670" s="67" t="s">
        <v>249</v>
      </c>
    </row>
    <row r="671" spans="1:14" ht="26.25" customHeight="1">
      <c r="A671" s="119" t="s">
        <v>38</v>
      </c>
      <c r="B671" s="73" t="s">
        <v>227</v>
      </c>
      <c r="C671" s="74" t="s">
        <v>359</v>
      </c>
      <c r="D671" s="12" t="s">
        <v>410</v>
      </c>
      <c r="E671" s="107">
        <v>44221</v>
      </c>
      <c r="F671" s="107">
        <v>44222</v>
      </c>
      <c r="G671" s="107">
        <v>44225</v>
      </c>
      <c r="H671" s="67">
        <v>0.03</v>
      </c>
      <c r="I671" s="60">
        <v>0.0352</v>
      </c>
      <c r="J671" s="113">
        <v>0</v>
      </c>
      <c r="K671" s="113">
        <v>0.0352</v>
      </c>
      <c r="L671" s="60">
        <f>+K671-((K671*0.282*0.125)+(K671*(1-0.282)*0.26))</f>
        <v>0.027388064000000004</v>
      </c>
      <c r="M671" s="60">
        <f t="shared" si="24"/>
        <v>0.027388064000000004</v>
      </c>
      <c r="N671" s="73" t="s">
        <v>249</v>
      </c>
    </row>
    <row r="672" spans="1:14" ht="26.25" customHeight="1">
      <c r="A672" s="119"/>
      <c r="B672" s="12" t="s">
        <v>156</v>
      </c>
      <c r="C672" s="64" t="s">
        <v>475</v>
      </c>
      <c r="D672" s="12" t="s">
        <v>498</v>
      </c>
      <c r="E672" s="65">
        <v>44221</v>
      </c>
      <c r="F672" s="65">
        <v>44222</v>
      </c>
      <c r="G672" s="65">
        <v>44225</v>
      </c>
      <c r="H672" s="67">
        <v>0.04</v>
      </c>
      <c r="I672" s="60">
        <v>0.1026</v>
      </c>
      <c r="J672" s="113">
        <v>0</v>
      </c>
      <c r="K672" s="113">
        <v>0.1026</v>
      </c>
      <c r="L672" s="60">
        <f>+K672-((K672*0.0000001*0.125)+(K672*(1-0.0000001)*0.26))</f>
        <v>0.0759240013851</v>
      </c>
      <c r="M672" s="60">
        <f t="shared" si="24"/>
        <v>0.0759240013851</v>
      </c>
      <c r="N672" s="67" t="s">
        <v>250</v>
      </c>
    </row>
    <row r="673" spans="1:14" ht="26.25" customHeight="1">
      <c r="A673" s="119"/>
      <c r="B673" s="73" t="s">
        <v>178</v>
      </c>
      <c r="C673" s="74" t="s">
        <v>474</v>
      </c>
      <c r="D673" s="12" t="s">
        <v>498</v>
      </c>
      <c r="E673" s="107">
        <v>44221</v>
      </c>
      <c r="F673" s="107">
        <v>44222</v>
      </c>
      <c r="G673" s="107">
        <v>44225</v>
      </c>
      <c r="H673" s="67">
        <v>0.04</v>
      </c>
      <c r="I673" s="60">
        <v>0.0894</v>
      </c>
      <c r="J673" s="113">
        <v>0.04880487000000001</v>
      </c>
      <c r="K673" s="113">
        <v>0.040595129999999986</v>
      </c>
      <c r="L673" s="60">
        <f>+K673-((K673*0.0000001*0.125)+(K673*(1-0.0000001)*0.26))</f>
        <v>0.030040396748034243</v>
      </c>
      <c r="M673" s="60">
        <f t="shared" si="24"/>
        <v>0.07884526674803424</v>
      </c>
      <c r="N673" s="67" t="s">
        <v>250</v>
      </c>
    </row>
    <row r="674" spans="1:14" ht="23.25" customHeight="1">
      <c r="A674" s="119"/>
      <c r="B674" s="12" t="s">
        <v>133</v>
      </c>
      <c r="C674" s="64" t="s">
        <v>476</v>
      </c>
      <c r="D674" s="12" t="s">
        <v>410</v>
      </c>
      <c r="E674" s="65">
        <v>44221</v>
      </c>
      <c r="F674" s="66">
        <v>44222</v>
      </c>
      <c r="G674" s="66">
        <v>44225</v>
      </c>
      <c r="H674" s="67">
        <v>0.04</v>
      </c>
      <c r="I674" s="60">
        <v>0.0431</v>
      </c>
      <c r="J674" s="113">
        <v>0</v>
      </c>
      <c r="K674" s="113">
        <v>0.0431</v>
      </c>
      <c r="L674" s="60">
        <f>+K674-((K674*0.003*0.125)+(K674*(1-0.003)*0.26))</f>
        <v>0.0319114555</v>
      </c>
      <c r="M674" s="60">
        <f t="shared" si="24"/>
        <v>0.0319114555</v>
      </c>
      <c r="N674" s="67" t="s">
        <v>249</v>
      </c>
    </row>
    <row r="675" spans="1:14" ht="23.25" customHeight="1">
      <c r="A675" s="119"/>
      <c r="B675" s="12" t="s">
        <v>155</v>
      </c>
      <c r="C675" s="64" t="s">
        <v>477</v>
      </c>
      <c r="D675" s="12" t="s">
        <v>498</v>
      </c>
      <c r="E675" s="107">
        <v>44221</v>
      </c>
      <c r="F675" s="107">
        <v>44222</v>
      </c>
      <c r="G675" s="107">
        <v>44225</v>
      </c>
      <c r="H675" s="67">
        <v>0.04</v>
      </c>
      <c r="I675" s="60">
        <v>0.098</v>
      </c>
      <c r="J675" s="113">
        <v>0.05914466000000002</v>
      </c>
      <c r="K675" s="113">
        <v>0.03885533999999998</v>
      </c>
      <c r="L675" s="60">
        <f>+K675-((K675*0.003*0.125)+(K675*(1-0.003)*0.26))</f>
        <v>0.028768688012699987</v>
      </c>
      <c r="M675" s="60">
        <f t="shared" si="24"/>
        <v>0.08791334801270001</v>
      </c>
      <c r="N675" s="67" t="s">
        <v>250</v>
      </c>
    </row>
    <row r="676" spans="1:14" ht="23.25" customHeight="1">
      <c r="A676" s="119"/>
      <c r="B676" s="73" t="s">
        <v>177</v>
      </c>
      <c r="C676" s="74" t="s">
        <v>478</v>
      </c>
      <c r="D676" s="12" t="s">
        <v>498</v>
      </c>
      <c r="E676" s="107">
        <v>44221</v>
      </c>
      <c r="F676" s="107">
        <v>44222</v>
      </c>
      <c r="G676" s="107">
        <v>44225</v>
      </c>
      <c r="H676" s="67">
        <v>0.04</v>
      </c>
      <c r="I676" s="60">
        <v>0.0999</v>
      </c>
      <c r="J676" s="113">
        <v>0.007384109999999995</v>
      </c>
      <c r="K676" s="113">
        <v>0.09251589</v>
      </c>
      <c r="L676" s="60">
        <f>+K676-((K676*0.003*0.125)+(K676*(1-0.003)*0.26))</f>
        <v>0.06849922753545</v>
      </c>
      <c r="M676" s="60">
        <f t="shared" si="24"/>
        <v>0.07588333753545</v>
      </c>
      <c r="N676" s="67" t="s">
        <v>250</v>
      </c>
    </row>
    <row r="677" spans="1:14" ht="23.25" customHeight="1">
      <c r="A677" s="119"/>
      <c r="B677" s="12" t="s">
        <v>158</v>
      </c>
      <c r="C677" s="64" t="s">
        <v>373</v>
      </c>
      <c r="D677" s="12" t="s">
        <v>498</v>
      </c>
      <c r="E677" s="107">
        <v>44221</v>
      </c>
      <c r="F677" s="107">
        <v>44222</v>
      </c>
      <c r="G677" s="107">
        <v>44225</v>
      </c>
      <c r="H677" s="67">
        <v>0.0425</v>
      </c>
      <c r="I677" s="60">
        <v>0.0864</v>
      </c>
      <c r="J677" s="113">
        <v>0.0014884000000000052</v>
      </c>
      <c r="K677" s="113">
        <v>0.0849116</v>
      </c>
      <c r="L677" s="60">
        <f>+K677-((K677*0.248*0.125)+(K677*(1-0.248)*0.26))</f>
        <v>0.065677424368</v>
      </c>
      <c r="M677" s="60">
        <f t="shared" si="24"/>
        <v>0.067165824368</v>
      </c>
      <c r="N677" s="67" t="s">
        <v>250</v>
      </c>
    </row>
    <row r="678" spans="1:199" ht="26.25" customHeight="1">
      <c r="A678" s="119"/>
      <c r="B678" s="12" t="s">
        <v>134</v>
      </c>
      <c r="C678" s="64" t="s">
        <v>374</v>
      </c>
      <c r="D678" s="12" t="s">
        <v>410</v>
      </c>
      <c r="E678" s="65">
        <v>44221</v>
      </c>
      <c r="F678" s="66">
        <v>44222</v>
      </c>
      <c r="G678" s="66">
        <v>44225</v>
      </c>
      <c r="H678" s="67">
        <v>0.0425</v>
      </c>
      <c r="I678" s="60">
        <v>0.0546</v>
      </c>
      <c r="J678" s="113">
        <v>0</v>
      </c>
      <c r="K678" s="113">
        <v>0.0546</v>
      </c>
      <c r="L678" s="60">
        <f>+K678-((K678*0.248*0.125)+(K678*(1-0.248)*0.26))</f>
        <v>0.042232008</v>
      </c>
      <c r="M678" s="60">
        <f t="shared" si="24"/>
        <v>0.042232008</v>
      </c>
      <c r="N678" s="67" t="s">
        <v>249</v>
      </c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E678" s="30"/>
      <c r="CF678" s="30"/>
      <c r="CG678" s="30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S678" s="30"/>
      <c r="CT678" s="30"/>
      <c r="CU678" s="30"/>
      <c r="CV678" s="30"/>
      <c r="CW678" s="30"/>
      <c r="CX678" s="30"/>
      <c r="CY678" s="30"/>
      <c r="CZ678" s="30"/>
      <c r="DA678" s="30"/>
      <c r="DB678" s="30"/>
      <c r="DC678" s="30"/>
      <c r="DD678" s="30"/>
      <c r="DE678" s="30"/>
      <c r="DF678" s="30"/>
      <c r="DG678" s="30"/>
      <c r="DH678" s="30"/>
      <c r="DI678" s="30"/>
      <c r="DJ678" s="30"/>
      <c r="DK678" s="30"/>
      <c r="DL678" s="30"/>
      <c r="DM678" s="30"/>
      <c r="DN678" s="30"/>
      <c r="DO678" s="30"/>
      <c r="DP678" s="30"/>
      <c r="DQ678" s="30"/>
      <c r="DR678" s="30"/>
      <c r="DS678" s="30"/>
      <c r="DT678" s="30"/>
      <c r="DU678" s="30"/>
      <c r="DV678" s="30"/>
      <c r="DW678" s="30"/>
      <c r="DX678" s="30"/>
      <c r="DY678" s="30"/>
      <c r="DZ678" s="30"/>
      <c r="EA678" s="30"/>
      <c r="EB678" s="30"/>
      <c r="EC678" s="30"/>
      <c r="ED678" s="30"/>
      <c r="EE678" s="30"/>
      <c r="EF678" s="30"/>
      <c r="EG678" s="30"/>
      <c r="EH678" s="30"/>
      <c r="EI678" s="30"/>
      <c r="EJ678" s="30"/>
      <c r="EK678" s="30"/>
      <c r="EL678" s="30"/>
      <c r="EM678" s="30"/>
      <c r="EN678" s="30"/>
      <c r="EO678" s="30"/>
      <c r="EP678" s="30"/>
      <c r="EQ678" s="30"/>
      <c r="ER678" s="30"/>
      <c r="ES678" s="30"/>
      <c r="ET678" s="30"/>
      <c r="EU678" s="30"/>
      <c r="EV678" s="30"/>
      <c r="EW678" s="30"/>
      <c r="EX678" s="30"/>
      <c r="EY678" s="30"/>
      <c r="EZ678" s="30"/>
      <c r="FA678" s="30"/>
      <c r="FB678" s="30"/>
      <c r="FC678" s="30"/>
      <c r="FD678" s="30"/>
      <c r="FE678" s="30"/>
      <c r="FF678" s="30"/>
      <c r="FG678" s="30"/>
      <c r="FH678" s="30"/>
      <c r="FI678" s="30"/>
      <c r="FJ678" s="30"/>
      <c r="FK678" s="30"/>
      <c r="FL678" s="30"/>
      <c r="FM678" s="30"/>
      <c r="FN678" s="30"/>
      <c r="FO678" s="30"/>
      <c r="FP678" s="30"/>
      <c r="FQ678" s="30"/>
      <c r="FR678" s="30"/>
      <c r="FS678" s="30"/>
      <c r="FT678" s="30"/>
      <c r="FU678" s="30"/>
      <c r="FV678" s="30"/>
      <c r="FW678" s="30"/>
      <c r="FX678" s="30"/>
      <c r="FY678" s="30"/>
      <c r="FZ678" s="30"/>
      <c r="GA678" s="30"/>
      <c r="GB678" s="30"/>
      <c r="GC678" s="30"/>
      <c r="GD678" s="30"/>
      <c r="GE678" s="30"/>
      <c r="GF678" s="30"/>
      <c r="GG678" s="30"/>
      <c r="GH678" s="30"/>
      <c r="GI678" s="30"/>
      <c r="GJ678" s="30"/>
      <c r="GK678" s="30"/>
      <c r="GL678" s="30"/>
      <c r="GM678" s="30"/>
      <c r="GN678" s="30"/>
      <c r="GO678" s="30"/>
      <c r="GP678" s="30"/>
      <c r="GQ678" s="30"/>
    </row>
    <row r="679" spans="1:199" ht="26.25" customHeight="1">
      <c r="A679" s="119"/>
      <c r="B679" s="12" t="s">
        <v>157</v>
      </c>
      <c r="C679" s="64" t="s">
        <v>375</v>
      </c>
      <c r="D679" s="12" t="s">
        <v>498</v>
      </c>
      <c r="E679" s="107">
        <v>44221</v>
      </c>
      <c r="F679" s="107">
        <v>44222</v>
      </c>
      <c r="G679" s="107">
        <v>44225</v>
      </c>
      <c r="H679" s="67">
        <v>0.0425</v>
      </c>
      <c r="I679" s="60">
        <v>0.0828</v>
      </c>
      <c r="J679" s="113">
        <v>0.005208120000000015</v>
      </c>
      <c r="K679" s="113">
        <v>0.07759187999999999</v>
      </c>
      <c r="L679" s="60">
        <f>+K679-((K679*0.248*0.125)+(K679*(1-0.248)*0.26))</f>
        <v>0.060015767342399995</v>
      </c>
      <c r="M679" s="60">
        <f t="shared" si="24"/>
        <v>0.0652238873424</v>
      </c>
      <c r="N679" s="67" t="s">
        <v>250</v>
      </c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E679" s="30"/>
      <c r="CF679" s="30"/>
      <c r="CG679" s="30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S679" s="30"/>
      <c r="CT679" s="30"/>
      <c r="CU679" s="30"/>
      <c r="CV679" s="30"/>
      <c r="CW679" s="30"/>
      <c r="CX679" s="30"/>
      <c r="CY679" s="30"/>
      <c r="CZ679" s="30"/>
      <c r="DA679" s="30"/>
      <c r="DB679" s="30"/>
      <c r="DC679" s="30"/>
      <c r="DD679" s="30"/>
      <c r="DE679" s="30"/>
      <c r="DF679" s="30"/>
      <c r="DG679" s="30"/>
      <c r="DH679" s="30"/>
      <c r="DI679" s="30"/>
      <c r="DJ679" s="30"/>
      <c r="DK679" s="30"/>
      <c r="DL679" s="30"/>
      <c r="DM679" s="30"/>
      <c r="DN679" s="30"/>
      <c r="DO679" s="30"/>
      <c r="DP679" s="30"/>
      <c r="DQ679" s="30"/>
      <c r="DR679" s="30"/>
      <c r="DS679" s="30"/>
      <c r="DT679" s="30"/>
      <c r="DU679" s="30"/>
      <c r="DV679" s="30"/>
      <c r="DW679" s="30"/>
      <c r="DX679" s="30"/>
      <c r="DY679" s="30"/>
      <c r="DZ679" s="30"/>
      <c r="EA679" s="30"/>
      <c r="EB679" s="30"/>
      <c r="EC679" s="30"/>
      <c r="ED679" s="30"/>
      <c r="EE679" s="30"/>
      <c r="EF679" s="30"/>
      <c r="EG679" s="30"/>
      <c r="EH679" s="30"/>
      <c r="EI679" s="30"/>
      <c r="EJ679" s="30"/>
      <c r="EK679" s="30"/>
      <c r="EL679" s="30"/>
      <c r="EM679" s="30"/>
      <c r="EN679" s="30"/>
      <c r="EO679" s="30"/>
      <c r="EP679" s="30"/>
      <c r="EQ679" s="30"/>
      <c r="ER679" s="30"/>
      <c r="ES679" s="30"/>
      <c r="ET679" s="30"/>
      <c r="EU679" s="30"/>
      <c r="EV679" s="30"/>
      <c r="EW679" s="30"/>
      <c r="EX679" s="30"/>
      <c r="EY679" s="30"/>
      <c r="EZ679" s="30"/>
      <c r="FA679" s="30"/>
      <c r="FB679" s="30"/>
      <c r="FC679" s="30"/>
      <c r="FD679" s="30"/>
      <c r="FE679" s="30"/>
      <c r="FF679" s="30"/>
      <c r="FG679" s="30"/>
      <c r="FH679" s="30"/>
      <c r="FI679" s="30"/>
      <c r="FJ679" s="30"/>
      <c r="FK679" s="30"/>
      <c r="FL679" s="30"/>
      <c r="FM679" s="30"/>
      <c r="FN679" s="30"/>
      <c r="FO679" s="30"/>
      <c r="FP679" s="30"/>
      <c r="FQ679" s="30"/>
      <c r="FR679" s="30"/>
      <c r="FS679" s="30"/>
      <c r="FT679" s="30"/>
      <c r="FU679" s="30"/>
      <c r="FV679" s="30"/>
      <c r="FW679" s="30"/>
      <c r="FX679" s="30"/>
      <c r="FY679" s="30"/>
      <c r="FZ679" s="30"/>
      <c r="GA679" s="30"/>
      <c r="GB679" s="30"/>
      <c r="GC679" s="30"/>
      <c r="GD679" s="30"/>
      <c r="GE679" s="30"/>
      <c r="GF679" s="30"/>
      <c r="GG679" s="30"/>
      <c r="GH679" s="30"/>
      <c r="GI679" s="30"/>
      <c r="GJ679" s="30"/>
      <c r="GK679" s="30"/>
      <c r="GL679" s="30"/>
      <c r="GM679" s="30"/>
      <c r="GN679" s="30"/>
      <c r="GO679" s="30"/>
      <c r="GP679" s="30"/>
      <c r="GQ679" s="30"/>
    </row>
    <row r="680" spans="1:199" ht="26.25" customHeight="1">
      <c r="A680" s="119"/>
      <c r="B680" s="73" t="s">
        <v>168</v>
      </c>
      <c r="C680" s="74" t="s">
        <v>376</v>
      </c>
      <c r="D680" s="12" t="s">
        <v>410</v>
      </c>
      <c r="E680" s="107">
        <v>44221</v>
      </c>
      <c r="F680" s="107">
        <v>44222</v>
      </c>
      <c r="G680" s="107">
        <v>44225</v>
      </c>
      <c r="H680" s="67">
        <v>0.0425</v>
      </c>
      <c r="I680" s="60">
        <v>0.0473</v>
      </c>
      <c r="J680" s="113">
        <v>0</v>
      </c>
      <c r="K680" s="113">
        <v>0.0473</v>
      </c>
      <c r="L680" s="60">
        <f>+K680-((K680*0.248*0.125)+(K680*(1-0.248)*0.26))</f>
        <v>0.036585604</v>
      </c>
      <c r="M680" s="60">
        <f t="shared" si="24"/>
        <v>0.036585604</v>
      </c>
      <c r="N680" s="73" t="s">
        <v>249</v>
      </c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  <c r="CG680" s="30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  <c r="CU680" s="30"/>
      <c r="CV680" s="30"/>
      <c r="CW680" s="30"/>
      <c r="CX680" s="30"/>
      <c r="CY680" s="30"/>
      <c r="CZ680" s="30"/>
      <c r="DA680" s="30"/>
      <c r="DB680" s="30"/>
      <c r="DC680" s="30"/>
      <c r="DD680" s="30"/>
      <c r="DE680" s="30"/>
      <c r="DF680" s="30"/>
      <c r="DG680" s="30"/>
      <c r="DH680" s="30"/>
      <c r="DI680" s="30"/>
      <c r="DJ680" s="30"/>
      <c r="DK680" s="30"/>
      <c r="DL680" s="30"/>
      <c r="DM680" s="30"/>
      <c r="DN680" s="30"/>
      <c r="DO680" s="30"/>
      <c r="DP680" s="30"/>
      <c r="DQ680" s="30"/>
      <c r="DR680" s="30"/>
      <c r="DS680" s="30"/>
      <c r="DT680" s="30"/>
      <c r="DU680" s="30"/>
      <c r="DV680" s="30"/>
      <c r="DW680" s="30"/>
      <c r="DX680" s="30"/>
      <c r="DY680" s="30"/>
      <c r="DZ680" s="30"/>
      <c r="EA680" s="30"/>
      <c r="EB680" s="30"/>
      <c r="EC680" s="30"/>
      <c r="ED680" s="30"/>
      <c r="EE680" s="30"/>
      <c r="EF680" s="30"/>
      <c r="EG680" s="30"/>
      <c r="EH680" s="30"/>
      <c r="EI680" s="30"/>
      <c r="EJ680" s="30"/>
      <c r="EK680" s="30"/>
      <c r="EL680" s="30"/>
      <c r="EM680" s="30"/>
      <c r="EN680" s="30"/>
      <c r="EO680" s="30"/>
      <c r="EP680" s="30"/>
      <c r="EQ680" s="30"/>
      <c r="ER680" s="30"/>
      <c r="ES680" s="30"/>
      <c r="ET680" s="30"/>
      <c r="EU680" s="30"/>
      <c r="EV680" s="30"/>
      <c r="EW680" s="30"/>
      <c r="EX680" s="30"/>
      <c r="EY680" s="30"/>
      <c r="EZ680" s="30"/>
      <c r="FA680" s="30"/>
      <c r="FB680" s="30"/>
      <c r="FC680" s="30"/>
      <c r="FD680" s="30"/>
      <c r="FE680" s="30"/>
      <c r="FF680" s="30"/>
      <c r="FG680" s="30"/>
      <c r="FH680" s="30"/>
      <c r="FI680" s="30"/>
      <c r="FJ680" s="30"/>
      <c r="FK680" s="30"/>
      <c r="FL680" s="30"/>
      <c r="FM680" s="30"/>
      <c r="FN680" s="30"/>
      <c r="FO680" s="30"/>
      <c r="FP680" s="30"/>
      <c r="FQ680" s="30"/>
      <c r="FR680" s="30"/>
      <c r="FS680" s="30"/>
      <c r="FT680" s="30"/>
      <c r="FU680" s="30"/>
      <c r="FV680" s="30"/>
      <c r="FW680" s="30"/>
      <c r="FX680" s="30"/>
      <c r="FY680" s="30"/>
      <c r="FZ680" s="30"/>
      <c r="GA680" s="30"/>
      <c r="GB680" s="30"/>
      <c r="GC680" s="30"/>
      <c r="GD680" s="30"/>
      <c r="GE680" s="30"/>
      <c r="GF680" s="30"/>
      <c r="GG680" s="30"/>
      <c r="GH680" s="30"/>
      <c r="GI680" s="30"/>
      <c r="GJ680" s="30"/>
      <c r="GK680" s="30"/>
      <c r="GL680" s="30"/>
      <c r="GM680" s="30"/>
      <c r="GN680" s="30"/>
      <c r="GO680" s="30"/>
      <c r="GP680" s="30"/>
      <c r="GQ680" s="30"/>
    </row>
    <row r="681" spans="1:199" ht="26.25" customHeight="1">
      <c r="A681" s="119"/>
      <c r="B681" s="12" t="s">
        <v>136</v>
      </c>
      <c r="C681" s="64" t="s">
        <v>388</v>
      </c>
      <c r="D681" s="12" t="s">
        <v>410</v>
      </c>
      <c r="E681" s="65">
        <v>44221</v>
      </c>
      <c r="F681" s="66">
        <v>44222</v>
      </c>
      <c r="G681" s="66">
        <v>44225</v>
      </c>
      <c r="H681" s="67">
        <v>0.02</v>
      </c>
      <c r="I681" s="60">
        <v>0.0239</v>
      </c>
      <c r="J681" s="113">
        <v>0</v>
      </c>
      <c r="K681" s="113">
        <v>0.0239</v>
      </c>
      <c r="L681" s="60">
        <f aca="true" t="shared" si="25" ref="L681:L686">+K681-((K681*0.078*0.125)+(K681*(1-0.078)*0.26))</f>
        <v>0.017937667</v>
      </c>
      <c r="M681" s="60">
        <f aca="true" t="shared" si="26" ref="M681:M712">J681+L681</f>
        <v>0.017937667</v>
      </c>
      <c r="N681" s="67" t="s">
        <v>249</v>
      </c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</row>
    <row r="682" spans="1:199" ht="26.25" customHeight="1">
      <c r="A682" s="119"/>
      <c r="B682" s="12" t="s">
        <v>137</v>
      </c>
      <c r="C682" s="64" t="s">
        <v>389</v>
      </c>
      <c r="D682" s="12" t="s">
        <v>410</v>
      </c>
      <c r="E682" s="65">
        <v>44221</v>
      </c>
      <c r="F682" s="66">
        <v>44222</v>
      </c>
      <c r="G682" s="66">
        <v>44225</v>
      </c>
      <c r="H682" s="67">
        <v>0.035</v>
      </c>
      <c r="I682" s="60">
        <v>0.0441</v>
      </c>
      <c r="J682" s="113">
        <v>0</v>
      </c>
      <c r="K682" s="113">
        <v>0.0441</v>
      </c>
      <c r="L682" s="60">
        <f t="shared" si="25"/>
        <v>0.033098373</v>
      </c>
      <c r="M682" s="60">
        <f t="shared" si="26"/>
        <v>0.033098373</v>
      </c>
      <c r="N682" s="67" t="s">
        <v>249</v>
      </c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</row>
    <row r="683" spans="1:14" ht="23.25" customHeight="1">
      <c r="A683" s="119"/>
      <c r="B683" s="12" t="s">
        <v>135</v>
      </c>
      <c r="C683" s="64" t="s">
        <v>390</v>
      </c>
      <c r="D683" s="12" t="s">
        <v>410</v>
      </c>
      <c r="E683" s="65">
        <v>44221</v>
      </c>
      <c r="F683" s="66">
        <v>44222</v>
      </c>
      <c r="G683" s="66">
        <v>44225</v>
      </c>
      <c r="H683" s="67">
        <v>0.045</v>
      </c>
      <c r="I683" s="60">
        <v>0.057</v>
      </c>
      <c r="J683" s="113">
        <v>0</v>
      </c>
      <c r="K683" s="113">
        <v>0.057</v>
      </c>
      <c r="L683" s="60">
        <f t="shared" si="25"/>
        <v>0.04278021</v>
      </c>
      <c r="M683" s="60">
        <f t="shared" si="26"/>
        <v>0.04278021</v>
      </c>
      <c r="N683" s="67" t="s">
        <v>249</v>
      </c>
    </row>
    <row r="684" spans="1:199" ht="23.25" customHeight="1">
      <c r="A684" s="119"/>
      <c r="B684" s="73" t="s">
        <v>170</v>
      </c>
      <c r="C684" s="74" t="s">
        <v>391</v>
      </c>
      <c r="D684" s="12" t="s">
        <v>410</v>
      </c>
      <c r="E684" s="107">
        <v>44221</v>
      </c>
      <c r="F684" s="107">
        <v>44222</v>
      </c>
      <c r="G684" s="107">
        <v>44225</v>
      </c>
      <c r="H684" s="67">
        <v>0.02</v>
      </c>
      <c r="I684" s="60">
        <v>0.0238</v>
      </c>
      <c r="J684" s="113">
        <v>0</v>
      </c>
      <c r="K684" s="113">
        <v>0.0238</v>
      </c>
      <c r="L684" s="60">
        <f t="shared" si="25"/>
        <v>0.017862614</v>
      </c>
      <c r="M684" s="60">
        <f t="shared" si="26"/>
        <v>0.017862614</v>
      </c>
      <c r="N684" s="73" t="s">
        <v>249</v>
      </c>
      <c r="GP684" s="10"/>
      <c r="GQ684" s="10"/>
    </row>
    <row r="685" spans="1:14" ht="23.25" customHeight="1">
      <c r="A685" s="119"/>
      <c r="B685" s="73" t="s">
        <v>171</v>
      </c>
      <c r="C685" s="74" t="s">
        <v>392</v>
      </c>
      <c r="D685" s="12" t="s">
        <v>410</v>
      </c>
      <c r="E685" s="107">
        <v>44221</v>
      </c>
      <c r="F685" s="107">
        <v>44222</v>
      </c>
      <c r="G685" s="107">
        <v>44225</v>
      </c>
      <c r="H685" s="67">
        <v>0.035</v>
      </c>
      <c r="I685" s="60">
        <v>0.0437</v>
      </c>
      <c r="J685" s="113">
        <v>0</v>
      </c>
      <c r="K685" s="113">
        <v>0.0437</v>
      </c>
      <c r="L685" s="60">
        <f t="shared" si="25"/>
        <v>0.032798161</v>
      </c>
      <c r="M685" s="60">
        <f t="shared" si="26"/>
        <v>0.032798161</v>
      </c>
      <c r="N685" s="73" t="s">
        <v>249</v>
      </c>
    </row>
    <row r="686" spans="1:199" ht="23.25" customHeight="1">
      <c r="A686" s="119"/>
      <c r="B686" s="73" t="s">
        <v>172</v>
      </c>
      <c r="C686" s="74" t="s">
        <v>393</v>
      </c>
      <c r="D686" s="12" t="s">
        <v>410</v>
      </c>
      <c r="E686" s="107">
        <v>44221</v>
      </c>
      <c r="F686" s="107">
        <v>44222</v>
      </c>
      <c r="G686" s="107">
        <v>44225</v>
      </c>
      <c r="H686" s="67">
        <v>0.045</v>
      </c>
      <c r="I686" s="60">
        <v>0.0566</v>
      </c>
      <c r="J686" s="113">
        <v>0</v>
      </c>
      <c r="K686" s="113">
        <v>0.0566</v>
      </c>
      <c r="L686" s="60">
        <f t="shared" si="25"/>
        <v>0.042479998</v>
      </c>
      <c r="M686" s="60">
        <f t="shared" si="26"/>
        <v>0.042479998</v>
      </c>
      <c r="N686" s="73" t="s">
        <v>249</v>
      </c>
      <c r="GP686" s="10"/>
      <c r="GQ686" s="10"/>
    </row>
    <row r="687" spans="1:199" ht="26.25" customHeight="1">
      <c r="A687" s="119"/>
      <c r="B687" s="73" t="s">
        <v>481</v>
      </c>
      <c r="C687" s="74" t="s">
        <v>483</v>
      </c>
      <c r="D687" s="12" t="s">
        <v>412</v>
      </c>
      <c r="E687" s="107">
        <v>44221</v>
      </c>
      <c r="F687" s="107">
        <v>44222</v>
      </c>
      <c r="G687" s="107">
        <v>44225</v>
      </c>
      <c r="H687" s="67">
        <v>0.055</v>
      </c>
      <c r="I687" s="60">
        <v>0.2111</v>
      </c>
      <c r="J687" s="113">
        <v>0</v>
      </c>
      <c r="K687" s="113">
        <v>0.2111</v>
      </c>
      <c r="L687" s="60">
        <f>+K687-((K687*0.167*0.125)+(K687*(1-0.167)*0.26))</f>
        <v>0.1609732495</v>
      </c>
      <c r="M687" s="60">
        <f t="shared" si="26"/>
        <v>0.1609732495</v>
      </c>
      <c r="N687" s="73" t="s">
        <v>497</v>
      </c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  <c r="CG687" s="30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S687" s="30"/>
      <c r="CT687" s="30"/>
      <c r="CU687" s="30"/>
      <c r="CV687" s="30"/>
      <c r="CW687" s="30"/>
      <c r="CX687" s="30"/>
      <c r="CY687" s="30"/>
      <c r="CZ687" s="30"/>
      <c r="DA687" s="30"/>
      <c r="DB687" s="30"/>
      <c r="DC687" s="30"/>
      <c r="DD687" s="30"/>
      <c r="DE687" s="30"/>
      <c r="DF687" s="30"/>
      <c r="DG687" s="30"/>
      <c r="DH687" s="30"/>
      <c r="DI687" s="30"/>
      <c r="DJ687" s="30"/>
      <c r="DK687" s="30"/>
      <c r="DL687" s="30"/>
      <c r="DM687" s="30"/>
      <c r="DN687" s="30"/>
      <c r="DO687" s="30"/>
      <c r="DP687" s="30"/>
      <c r="DQ687" s="30"/>
      <c r="DR687" s="30"/>
      <c r="DS687" s="30"/>
      <c r="DT687" s="30"/>
      <c r="DU687" s="30"/>
      <c r="DV687" s="30"/>
      <c r="DW687" s="30"/>
      <c r="DX687" s="30"/>
      <c r="DY687" s="30"/>
      <c r="DZ687" s="30"/>
      <c r="EA687" s="30"/>
      <c r="EB687" s="30"/>
      <c r="EC687" s="30"/>
      <c r="ED687" s="30"/>
      <c r="EE687" s="30"/>
      <c r="EF687" s="30"/>
      <c r="EG687" s="30"/>
      <c r="EH687" s="30"/>
      <c r="EI687" s="30"/>
      <c r="EJ687" s="30"/>
      <c r="EK687" s="30"/>
      <c r="EL687" s="30"/>
      <c r="EM687" s="30"/>
      <c r="EN687" s="30"/>
      <c r="EO687" s="30"/>
      <c r="EP687" s="30"/>
      <c r="EQ687" s="30"/>
      <c r="ER687" s="30"/>
      <c r="ES687" s="30"/>
      <c r="ET687" s="30"/>
      <c r="EU687" s="30"/>
      <c r="EV687" s="30"/>
      <c r="EW687" s="30"/>
      <c r="EX687" s="30"/>
      <c r="EY687" s="30"/>
      <c r="EZ687" s="30"/>
      <c r="FA687" s="30"/>
      <c r="FB687" s="30"/>
      <c r="FC687" s="30"/>
      <c r="FD687" s="30"/>
      <c r="FE687" s="30"/>
      <c r="FF687" s="30"/>
      <c r="FG687" s="30"/>
      <c r="FH687" s="30"/>
      <c r="FI687" s="30"/>
      <c r="FJ687" s="30"/>
      <c r="FK687" s="30"/>
      <c r="FL687" s="30"/>
      <c r="FM687" s="30"/>
      <c r="FN687" s="30"/>
      <c r="FO687" s="30"/>
      <c r="FP687" s="30"/>
      <c r="FQ687" s="30"/>
      <c r="FR687" s="30"/>
      <c r="FS687" s="30"/>
      <c r="FT687" s="30"/>
      <c r="FU687" s="30"/>
      <c r="FV687" s="30"/>
      <c r="FW687" s="30"/>
      <c r="FX687" s="30"/>
      <c r="FY687" s="30"/>
      <c r="FZ687" s="30"/>
      <c r="GA687" s="30"/>
      <c r="GB687" s="30"/>
      <c r="GC687" s="30"/>
      <c r="GD687" s="30"/>
      <c r="GE687" s="30"/>
      <c r="GF687" s="30"/>
      <c r="GG687" s="30"/>
      <c r="GH687" s="30"/>
      <c r="GI687" s="30"/>
      <c r="GJ687" s="30"/>
      <c r="GK687" s="30"/>
      <c r="GL687" s="30"/>
      <c r="GM687" s="30"/>
      <c r="GN687" s="30"/>
      <c r="GO687" s="30"/>
      <c r="GP687" s="30"/>
      <c r="GQ687" s="30"/>
    </row>
    <row r="688" spans="1:199" ht="26.25" customHeight="1">
      <c r="A688" s="119"/>
      <c r="B688" s="12" t="s">
        <v>154</v>
      </c>
      <c r="C688" s="64" t="s">
        <v>399</v>
      </c>
      <c r="D688" s="12" t="s">
        <v>498</v>
      </c>
      <c r="E688" s="107">
        <v>44221</v>
      </c>
      <c r="F688" s="107">
        <v>44222</v>
      </c>
      <c r="G688" s="107">
        <v>44225</v>
      </c>
      <c r="H688" s="67">
        <v>0.055</v>
      </c>
      <c r="I688" s="60">
        <v>0.1097</v>
      </c>
      <c r="J688" s="113">
        <v>0</v>
      </c>
      <c r="K688" s="113">
        <v>0.1097</v>
      </c>
      <c r="L688" s="60">
        <f>+K688-((K688*0.167*0.125)+(K688*(1-0.167)*0.26))</f>
        <v>0.0836511865</v>
      </c>
      <c r="M688" s="60">
        <f t="shared" si="26"/>
        <v>0.0836511865</v>
      </c>
      <c r="N688" s="67" t="s">
        <v>250</v>
      </c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  <c r="CE688" s="30"/>
      <c r="CF688" s="30"/>
      <c r="CG688" s="30"/>
      <c r="CH688" s="30"/>
      <c r="CI688" s="30"/>
      <c r="CJ688" s="30"/>
      <c r="CK688" s="30"/>
      <c r="CL688" s="30"/>
      <c r="CM688" s="30"/>
      <c r="CN688" s="30"/>
      <c r="CO688" s="30"/>
      <c r="CP688" s="30"/>
      <c r="CQ688" s="30"/>
      <c r="CR688" s="30"/>
      <c r="CS688" s="30"/>
      <c r="CT688" s="30"/>
      <c r="CU688" s="30"/>
      <c r="CV688" s="30"/>
      <c r="CW688" s="30"/>
      <c r="CX688" s="30"/>
      <c r="CY688" s="30"/>
      <c r="CZ688" s="30"/>
      <c r="DA688" s="30"/>
      <c r="DB688" s="30"/>
      <c r="DC688" s="30"/>
      <c r="DD688" s="30"/>
      <c r="DE688" s="30"/>
      <c r="DF688" s="30"/>
      <c r="DG688" s="30"/>
      <c r="DH688" s="30"/>
      <c r="DI688" s="30"/>
      <c r="DJ688" s="30"/>
      <c r="DK688" s="30"/>
      <c r="DL688" s="30"/>
      <c r="DM688" s="30"/>
      <c r="DN688" s="30"/>
      <c r="DO688" s="30"/>
      <c r="DP688" s="30"/>
      <c r="DQ688" s="30"/>
      <c r="DR688" s="30"/>
      <c r="DS688" s="30"/>
      <c r="DT688" s="30"/>
      <c r="DU688" s="30"/>
      <c r="DV688" s="30"/>
      <c r="DW688" s="30"/>
      <c r="DX688" s="30"/>
      <c r="DY688" s="30"/>
      <c r="DZ688" s="30"/>
      <c r="EA688" s="30"/>
      <c r="EB688" s="30"/>
      <c r="EC688" s="30"/>
      <c r="ED688" s="30"/>
      <c r="EE688" s="30"/>
      <c r="EF688" s="30"/>
      <c r="EG688" s="30"/>
      <c r="EH688" s="30"/>
      <c r="EI688" s="30"/>
      <c r="EJ688" s="30"/>
      <c r="EK688" s="30"/>
      <c r="EL688" s="30"/>
      <c r="EM688" s="30"/>
      <c r="EN688" s="30"/>
      <c r="EO688" s="30"/>
      <c r="EP688" s="30"/>
      <c r="EQ688" s="30"/>
      <c r="ER688" s="30"/>
      <c r="ES688" s="30"/>
      <c r="ET688" s="30"/>
      <c r="EU688" s="30"/>
      <c r="EV688" s="30"/>
      <c r="EW688" s="30"/>
      <c r="EX688" s="30"/>
      <c r="EY688" s="30"/>
      <c r="EZ688" s="30"/>
      <c r="FA688" s="30"/>
      <c r="FB688" s="30"/>
      <c r="FC688" s="30"/>
      <c r="FD688" s="30"/>
      <c r="FE688" s="30"/>
      <c r="FF688" s="30"/>
      <c r="FG688" s="30"/>
      <c r="FH688" s="30"/>
      <c r="FI688" s="30"/>
      <c r="FJ688" s="30"/>
      <c r="FK688" s="30"/>
      <c r="FL688" s="30"/>
      <c r="FM688" s="30"/>
      <c r="FN688" s="30"/>
      <c r="FO688" s="30"/>
      <c r="FP688" s="30"/>
      <c r="FQ688" s="30"/>
      <c r="FR688" s="30"/>
      <c r="FS688" s="30"/>
      <c r="FT688" s="30"/>
      <c r="FU688" s="30"/>
      <c r="FV688" s="30"/>
      <c r="FW688" s="30"/>
      <c r="FX688" s="30"/>
      <c r="FY688" s="30"/>
      <c r="FZ688" s="30"/>
      <c r="GA688" s="30"/>
      <c r="GB688" s="30"/>
      <c r="GC688" s="30"/>
      <c r="GD688" s="30"/>
      <c r="GE688" s="30"/>
      <c r="GF688" s="30"/>
      <c r="GG688" s="30"/>
      <c r="GH688" s="30"/>
      <c r="GI688" s="30"/>
      <c r="GJ688" s="30"/>
      <c r="GK688" s="30"/>
      <c r="GL688" s="30"/>
      <c r="GM688" s="30"/>
      <c r="GN688" s="30"/>
      <c r="GO688" s="30"/>
      <c r="GP688" s="30"/>
      <c r="GQ688" s="30"/>
    </row>
    <row r="689" spans="1:199" ht="26.25" customHeight="1">
      <c r="A689" s="198"/>
      <c r="B689" s="73" t="s">
        <v>482</v>
      </c>
      <c r="C689" s="74" t="s">
        <v>484</v>
      </c>
      <c r="D689" s="12" t="s">
        <v>412</v>
      </c>
      <c r="E689" s="107">
        <v>44221</v>
      </c>
      <c r="F689" s="107">
        <v>44222</v>
      </c>
      <c r="G689" s="107">
        <v>44225</v>
      </c>
      <c r="H689" s="67">
        <v>0.055</v>
      </c>
      <c r="I689" s="60">
        <v>0.2015</v>
      </c>
      <c r="J689" s="113">
        <v>0</v>
      </c>
      <c r="K689" s="113">
        <v>0.2015</v>
      </c>
      <c r="L689" s="60">
        <f>+K689-((K689*0.167*0.125)+(K689*(1-0.167)*0.26))</f>
        <v>0.1536528175</v>
      </c>
      <c r="M689" s="60">
        <f t="shared" si="26"/>
        <v>0.1536528175</v>
      </c>
      <c r="N689" s="73" t="s">
        <v>497</v>
      </c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E689" s="30"/>
      <c r="CF689" s="30"/>
      <c r="CG689" s="30"/>
      <c r="CH689" s="30"/>
      <c r="CI689" s="30"/>
      <c r="CJ689" s="30"/>
      <c r="CK689" s="30"/>
      <c r="CL689" s="30"/>
      <c r="CM689" s="30"/>
      <c r="CN689" s="30"/>
      <c r="CO689" s="30"/>
      <c r="CP689" s="30"/>
      <c r="CQ689" s="30"/>
      <c r="CR689" s="30"/>
      <c r="CS689" s="30"/>
      <c r="CT689" s="30"/>
      <c r="CU689" s="30"/>
      <c r="CV689" s="30"/>
      <c r="CW689" s="30"/>
      <c r="CX689" s="30"/>
      <c r="CY689" s="30"/>
      <c r="CZ689" s="30"/>
      <c r="DA689" s="30"/>
      <c r="DB689" s="30"/>
      <c r="DC689" s="30"/>
      <c r="DD689" s="30"/>
      <c r="DE689" s="30"/>
      <c r="DF689" s="30"/>
      <c r="DG689" s="30"/>
      <c r="DH689" s="30"/>
      <c r="DI689" s="30"/>
      <c r="DJ689" s="30"/>
      <c r="DK689" s="30"/>
      <c r="DL689" s="30"/>
      <c r="DM689" s="30"/>
      <c r="DN689" s="30"/>
      <c r="DO689" s="30"/>
      <c r="DP689" s="30"/>
      <c r="DQ689" s="30"/>
      <c r="DR689" s="30"/>
      <c r="DS689" s="30"/>
      <c r="DT689" s="30"/>
      <c r="DU689" s="30"/>
      <c r="DV689" s="30"/>
      <c r="DW689" s="30"/>
      <c r="DX689" s="30"/>
      <c r="DY689" s="30"/>
      <c r="DZ689" s="30"/>
      <c r="EA689" s="30"/>
      <c r="EB689" s="30"/>
      <c r="EC689" s="30"/>
      <c r="ED689" s="30"/>
      <c r="EE689" s="30"/>
      <c r="EF689" s="30"/>
      <c r="EG689" s="30"/>
      <c r="EH689" s="30"/>
      <c r="EI689" s="30"/>
      <c r="EJ689" s="30"/>
      <c r="EK689" s="30"/>
      <c r="EL689" s="30"/>
      <c r="EM689" s="30"/>
      <c r="EN689" s="30"/>
      <c r="EO689" s="30"/>
      <c r="EP689" s="30"/>
      <c r="EQ689" s="30"/>
      <c r="ER689" s="30"/>
      <c r="ES689" s="30"/>
      <c r="ET689" s="30"/>
      <c r="EU689" s="30"/>
      <c r="EV689" s="30"/>
      <c r="EW689" s="30"/>
      <c r="EX689" s="30"/>
      <c r="EY689" s="30"/>
      <c r="EZ689" s="30"/>
      <c r="FA689" s="30"/>
      <c r="FB689" s="30"/>
      <c r="FC689" s="30"/>
      <c r="FD689" s="30"/>
      <c r="FE689" s="30"/>
      <c r="FF689" s="30"/>
      <c r="FG689" s="30"/>
      <c r="FH689" s="30"/>
      <c r="FI689" s="30"/>
      <c r="FJ689" s="30"/>
      <c r="FK689" s="30"/>
      <c r="FL689" s="30"/>
      <c r="FM689" s="30"/>
      <c r="FN689" s="30"/>
      <c r="FO689" s="30"/>
      <c r="FP689" s="30"/>
      <c r="FQ689" s="30"/>
      <c r="FR689" s="30"/>
      <c r="FS689" s="30"/>
      <c r="FT689" s="30"/>
      <c r="FU689" s="30"/>
      <c r="FV689" s="30"/>
      <c r="FW689" s="30"/>
      <c r="FX689" s="30"/>
      <c r="FY689" s="30"/>
      <c r="FZ689" s="30"/>
      <c r="GA689" s="30"/>
      <c r="GB689" s="30"/>
      <c r="GC689" s="30"/>
      <c r="GD689" s="30"/>
      <c r="GE689" s="30"/>
      <c r="GF689" s="30"/>
      <c r="GG689" s="30"/>
      <c r="GH689" s="30"/>
      <c r="GI689" s="30"/>
      <c r="GJ689" s="30"/>
      <c r="GK689" s="30"/>
      <c r="GL689" s="30"/>
      <c r="GM689" s="30"/>
      <c r="GN689" s="30"/>
      <c r="GO689" s="30"/>
      <c r="GP689" s="30"/>
      <c r="GQ689" s="30"/>
    </row>
    <row r="690" spans="1:199" ht="26.25" customHeight="1">
      <c r="A690" s="198"/>
      <c r="B690" s="73" t="s">
        <v>169</v>
      </c>
      <c r="C690" s="74" t="s">
        <v>400</v>
      </c>
      <c r="D690" s="12" t="s">
        <v>410</v>
      </c>
      <c r="E690" s="107">
        <v>44221</v>
      </c>
      <c r="F690" s="107">
        <v>44222</v>
      </c>
      <c r="G690" s="107">
        <v>44225</v>
      </c>
      <c r="H690" s="67">
        <v>0.055</v>
      </c>
      <c r="I690" s="60">
        <v>0.0617</v>
      </c>
      <c r="J690" s="113">
        <v>0</v>
      </c>
      <c r="K690" s="113">
        <v>0.0617</v>
      </c>
      <c r="L690" s="60">
        <f>+K690-((K690*0.167*0.125)+(K690*(1-0.167)*0.26))</f>
        <v>0.0470490265</v>
      </c>
      <c r="M690" s="60">
        <f t="shared" si="26"/>
        <v>0.0470490265</v>
      </c>
      <c r="N690" s="73" t="s">
        <v>249</v>
      </c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  <c r="CE690" s="30"/>
      <c r="CF690" s="30"/>
      <c r="CG690" s="30"/>
      <c r="CH690" s="30"/>
      <c r="CI690" s="30"/>
      <c r="CJ690" s="30"/>
      <c r="CK690" s="30"/>
      <c r="CL690" s="30"/>
      <c r="CM690" s="30"/>
      <c r="CN690" s="30"/>
      <c r="CO690" s="30"/>
      <c r="CP690" s="30"/>
      <c r="CQ690" s="30"/>
      <c r="CR690" s="30"/>
      <c r="CS690" s="30"/>
      <c r="CT690" s="30"/>
      <c r="CU690" s="30"/>
      <c r="CV690" s="30"/>
      <c r="CW690" s="30"/>
      <c r="CX690" s="30"/>
      <c r="CY690" s="30"/>
      <c r="CZ690" s="30"/>
      <c r="DA690" s="30"/>
      <c r="DB690" s="30"/>
      <c r="DC690" s="30"/>
      <c r="DD690" s="30"/>
      <c r="DE690" s="30"/>
      <c r="DF690" s="30"/>
      <c r="DG690" s="30"/>
      <c r="DH690" s="30"/>
      <c r="DI690" s="30"/>
      <c r="DJ690" s="30"/>
      <c r="DK690" s="30"/>
      <c r="DL690" s="30"/>
      <c r="DM690" s="30"/>
      <c r="DN690" s="30"/>
      <c r="DO690" s="30"/>
      <c r="DP690" s="30"/>
      <c r="DQ690" s="30"/>
      <c r="DR690" s="30"/>
      <c r="DS690" s="30"/>
      <c r="DT690" s="30"/>
      <c r="DU690" s="30"/>
      <c r="DV690" s="30"/>
      <c r="DW690" s="30"/>
      <c r="DX690" s="30"/>
      <c r="DY690" s="30"/>
      <c r="DZ690" s="30"/>
      <c r="EA690" s="30"/>
      <c r="EB690" s="30"/>
      <c r="EC690" s="30"/>
      <c r="ED690" s="30"/>
      <c r="EE690" s="30"/>
      <c r="EF690" s="30"/>
      <c r="EG690" s="30"/>
      <c r="EH690" s="30"/>
      <c r="EI690" s="30"/>
      <c r="EJ690" s="30"/>
      <c r="EK690" s="30"/>
      <c r="EL690" s="30"/>
      <c r="EM690" s="30"/>
      <c r="EN690" s="30"/>
      <c r="EO690" s="30"/>
      <c r="EP690" s="30"/>
      <c r="EQ690" s="30"/>
      <c r="ER690" s="30"/>
      <c r="ES690" s="30"/>
      <c r="ET690" s="30"/>
      <c r="EU690" s="30"/>
      <c r="EV690" s="30"/>
      <c r="EW690" s="30"/>
      <c r="EX690" s="30"/>
      <c r="EY690" s="30"/>
      <c r="EZ690" s="30"/>
      <c r="FA690" s="30"/>
      <c r="FB690" s="30"/>
      <c r="FC690" s="30"/>
      <c r="FD690" s="30"/>
      <c r="FE690" s="30"/>
      <c r="FF690" s="30"/>
      <c r="FG690" s="30"/>
      <c r="FH690" s="30"/>
      <c r="FI690" s="30"/>
      <c r="FJ690" s="30"/>
      <c r="FK690" s="30"/>
      <c r="FL690" s="30"/>
      <c r="FM690" s="30"/>
      <c r="FN690" s="30"/>
      <c r="FO690" s="30"/>
      <c r="FP690" s="30"/>
      <c r="FQ690" s="30"/>
      <c r="FR690" s="30"/>
      <c r="FS690" s="30"/>
      <c r="FT690" s="30"/>
      <c r="FU690" s="30"/>
      <c r="FV690" s="30"/>
      <c r="FW690" s="30"/>
      <c r="FX690" s="30"/>
      <c r="FY690" s="30"/>
      <c r="FZ690" s="30"/>
      <c r="GA690" s="30"/>
      <c r="GB690" s="30"/>
      <c r="GC690" s="30"/>
      <c r="GD690" s="30"/>
      <c r="GE690" s="30"/>
      <c r="GF690" s="30"/>
      <c r="GG690" s="30"/>
      <c r="GH690" s="30"/>
      <c r="GI690" s="30"/>
      <c r="GJ690" s="30"/>
      <c r="GK690" s="30"/>
      <c r="GL690" s="30"/>
      <c r="GM690" s="30"/>
      <c r="GN690" s="30"/>
      <c r="GO690" s="30"/>
      <c r="GP690" s="30"/>
      <c r="GQ690" s="30"/>
    </row>
    <row r="691" spans="1:252" s="30" customFormat="1" ht="23.25" customHeight="1">
      <c r="A691" s="94"/>
      <c r="B691" s="12" t="s">
        <v>310</v>
      </c>
      <c r="C691" s="64" t="s">
        <v>424</v>
      </c>
      <c r="D691" s="12" t="s">
        <v>411</v>
      </c>
      <c r="E691" s="65">
        <v>44225</v>
      </c>
      <c r="F691" s="66">
        <v>44228</v>
      </c>
      <c r="G691" s="66">
        <v>44231</v>
      </c>
      <c r="H691" s="70">
        <v>0.05</v>
      </c>
      <c r="I691" s="115">
        <v>0.0205</v>
      </c>
      <c r="J691" s="113">
        <v>0</v>
      </c>
      <c r="K691" s="113">
        <v>0.0205</v>
      </c>
      <c r="L691" s="60">
        <f>+K691-((K691*0.036*0.125)+(K691*(1-0.036)*0.26))</f>
        <v>0.01526963</v>
      </c>
      <c r="M691" s="60">
        <f t="shared" si="26"/>
        <v>0.01526963</v>
      </c>
      <c r="N691" s="67" t="s">
        <v>251</v>
      </c>
      <c r="IR691" s="94"/>
    </row>
    <row r="692" spans="1:252" s="30" customFormat="1" ht="23.25" customHeight="1">
      <c r="A692" s="94"/>
      <c r="B692" s="12" t="s">
        <v>188</v>
      </c>
      <c r="C692" s="69" t="s">
        <v>339</v>
      </c>
      <c r="D692" s="12" t="s">
        <v>411</v>
      </c>
      <c r="E692" s="65">
        <v>44225</v>
      </c>
      <c r="F692" s="66">
        <v>44228</v>
      </c>
      <c r="G692" s="66">
        <v>44231</v>
      </c>
      <c r="H692" s="70">
        <v>0.05</v>
      </c>
      <c r="I692" s="115">
        <v>0.3588</v>
      </c>
      <c r="J692" s="113">
        <v>0</v>
      </c>
      <c r="K692" s="113">
        <v>0.3588</v>
      </c>
      <c r="L692" s="60">
        <f>+K692-((K692*0.036*0.125)+(K692*(1-0.036)*0.26))</f>
        <v>0.267255768</v>
      </c>
      <c r="M692" s="60">
        <f t="shared" si="26"/>
        <v>0.267255768</v>
      </c>
      <c r="N692" s="67" t="s">
        <v>251</v>
      </c>
      <c r="IR692" s="94"/>
    </row>
    <row r="693" spans="1:252" s="30" customFormat="1" ht="23.25" customHeight="1">
      <c r="A693" s="94"/>
      <c r="B693" s="12" t="s">
        <v>196</v>
      </c>
      <c r="C693" s="74" t="s">
        <v>340</v>
      </c>
      <c r="D693" s="73" t="s">
        <v>411</v>
      </c>
      <c r="E693" s="65">
        <v>44225</v>
      </c>
      <c r="F693" s="66">
        <v>44228</v>
      </c>
      <c r="G693" s="66">
        <v>44231</v>
      </c>
      <c r="H693" s="70">
        <v>0.05</v>
      </c>
      <c r="I693" s="115">
        <v>0.3726</v>
      </c>
      <c r="J693" s="113">
        <v>0</v>
      </c>
      <c r="K693" s="113">
        <v>0.3726</v>
      </c>
      <c r="L693" s="60">
        <f>+K693-((K693*0.036*0.125)+(K693*(1-0.036)*0.26))</f>
        <v>0.277534836</v>
      </c>
      <c r="M693" s="60">
        <f t="shared" si="26"/>
        <v>0.277534836</v>
      </c>
      <c r="N693" s="67" t="s">
        <v>251</v>
      </c>
      <c r="IR693" s="94"/>
    </row>
    <row r="694" spans="1:14" s="30" customFormat="1" ht="23.25" customHeight="1">
      <c r="A694" s="94"/>
      <c r="B694" s="12" t="s">
        <v>191</v>
      </c>
      <c r="C694" s="69" t="s">
        <v>346</v>
      </c>
      <c r="D694" s="12" t="s">
        <v>411</v>
      </c>
      <c r="E694" s="65">
        <v>44225</v>
      </c>
      <c r="F694" s="66">
        <v>44228</v>
      </c>
      <c r="G694" s="66">
        <v>44231</v>
      </c>
      <c r="H694" s="67">
        <v>0.035</v>
      </c>
      <c r="I694" s="115">
        <v>0.0141</v>
      </c>
      <c r="J694" s="113">
        <v>0</v>
      </c>
      <c r="K694" s="113">
        <v>0.0141</v>
      </c>
      <c r="L694" s="60">
        <f>+K694-((K694*0.713*0.125)+(K694*(1-0.713)*0.26))</f>
        <v>0.0117911955</v>
      </c>
      <c r="M694" s="60">
        <f t="shared" si="26"/>
        <v>0.0117911955</v>
      </c>
      <c r="N694" s="67" t="s">
        <v>251</v>
      </c>
    </row>
    <row r="695" spans="1:14" s="30" customFormat="1" ht="23.25" customHeight="1">
      <c r="A695" s="94"/>
      <c r="B695" s="12" t="s">
        <v>199</v>
      </c>
      <c r="C695" s="74" t="s">
        <v>347</v>
      </c>
      <c r="D695" s="73" t="s">
        <v>411</v>
      </c>
      <c r="E695" s="65">
        <v>44225</v>
      </c>
      <c r="F695" s="66">
        <v>44228</v>
      </c>
      <c r="G695" s="66">
        <v>44231</v>
      </c>
      <c r="H695" s="67">
        <v>0.035</v>
      </c>
      <c r="I695" s="115">
        <v>0.014</v>
      </c>
      <c r="J695" s="113">
        <v>0</v>
      </c>
      <c r="K695" s="113">
        <v>0.014</v>
      </c>
      <c r="L695" s="60">
        <f>+K695-((K695*0.713*0.125)+(K695*(1-0.713)*0.26))</f>
        <v>0.01170757</v>
      </c>
      <c r="M695" s="60">
        <f t="shared" si="26"/>
        <v>0.01170757</v>
      </c>
      <c r="N695" s="67" t="s">
        <v>251</v>
      </c>
    </row>
    <row r="696" spans="1:14" s="30" customFormat="1" ht="23.25" customHeight="1">
      <c r="A696" s="94"/>
      <c r="B696" s="12" t="s">
        <v>306</v>
      </c>
      <c r="C696" s="64" t="s">
        <v>430</v>
      </c>
      <c r="D696" s="12" t="s">
        <v>411</v>
      </c>
      <c r="E696" s="65">
        <v>44225</v>
      </c>
      <c r="F696" s="66">
        <v>44228</v>
      </c>
      <c r="G696" s="66">
        <v>44231</v>
      </c>
      <c r="H696" s="70">
        <v>0.025</v>
      </c>
      <c r="I696" s="115">
        <v>0.0103</v>
      </c>
      <c r="J696" s="113">
        <v>0</v>
      </c>
      <c r="K696" s="113">
        <v>0.0103</v>
      </c>
      <c r="L696" s="60">
        <f>+K696-((K696*0.0002*0.125)+(K696*(1-0.0002)*0.26))</f>
        <v>0.007622278099999999</v>
      </c>
      <c r="M696" s="60">
        <f t="shared" si="26"/>
        <v>0.007622278099999999</v>
      </c>
      <c r="N696" s="67" t="s">
        <v>251</v>
      </c>
    </row>
    <row r="697" spans="1:14" s="30" customFormat="1" ht="23.25" customHeight="1">
      <c r="A697" s="94"/>
      <c r="B697" s="12" t="s">
        <v>184</v>
      </c>
      <c r="C697" s="69" t="s">
        <v>354</v>
      </c>
      <c r="D697" s="12" t="s">
        <v>411</v>
      </c>
      <c r="E697" s="65">
        <v>44225</v>
      </c>
      <c r="F697" s="66">
        <v>44228</v>
      </c>
      <c r="G697" s="66">
        <v>44231</v>
      </c>
      <c r="H697" s="70">
        <v>0.025</v>
      </c>
      <c r="I697" s="115">
        <v>0.2075</v>
      </c>
      <c r="J697" s="113">
        <v>0</v>
      </c>
      <c r="K697" s="113">
        <v>0.2075</v>
      </c>
      <c r="L697" s="60">
        <f>+K697-((K697*0.0002*0.125)+(K697*(1-0.0002)*0.26))</f>
        <v>0.1535556025</v>
      </c>
      <c r="M697" s="60">
        <f t="shared" si="26"/>
        <v>0.1535556025</v>
      </c>
      <c r="N697" s="67" t="s">
        <v>251</v>
      </c>
    </row>
    <row r="698" spans="1:14" s="30" customFormat="1" ht="23.25" customHeight="1">
      <c r="A698" s="94"/>
      <c r="B698" s="12" t="s">
        <v>192</v>
      </c>
      <c r="C698" s="74" t="s">
        <v>355</v>
      </c>
      <c r="D698" s="73" t="s">
        <v>411</v>
      </c>
      <c r="E698" s="65">
        <v>44225</v>
      </c>
      <c r="F698" s="66">
        <v>44228</v>
      </c>
      <c r="G698" s="66">
        <v>44231</v>
      </c>
      <c r="H698" s="70">
        <v>0.025</v>
      </c>
      <c r="I698" s="115">
        <v>0.2096</v>
      </c>
      <c r="J698" s="113">
        <v>0</v>
      </c>
      <c r="K698" s="113">
        <v>0.2096</v>
      </c>
      <c r="L698" s="60">
        <f>+K698-((K698*0.0002*0.125)+(K698*(1-0.0002)*0.26))</f>
        <v>0.1551096592</v>
      </c>
      <c r="M698" s="60">
        <f t="shared" si="26"/>
        <v>0.1551096592</v>
      </c>
      <c r="N698" s="67" t="s">
        <v>251</v>
      </c>
    </row>
    <row r="699" spans="1:14" s="30" customFormat="1" ht="23.25" customHeight="1">
      <c r="A699" s="94"/>
      <c r="B699" s="12" t="s">
        <v>311</v>
      </c>
      <c r="C699" s="64" t="s">
        <v>425</v>
      </c>
      <c r="D699" s="12" t="s">
        <v>411</v>
      </c>
      <c r="E699" s="65">
        <v>44225</v>
      </c>
      <c r="F699" s="66">
        <v>44228</v>
      </c>
      <c r="G699" s="66">
        <v>44231</v>
      </c>
      <c r="H699" s="70">
        <v>0.015</v>
      </c>
      <c r="I699" s="115">
        <v>0.0061</v>
      </c>
      <c r="J699" s="113">
        <v>0</v>
      </c>
      <c r="K699" s="113">
        <v>0.0061</v>
      </c>
      <c r="L699" s="60">
        <f>+K699-((K699*0.0000001*0.125)+(K699*(1-0.0000001)*0.26))</f>
        <v>0.00451400008235</v>
      </c>
      <c r="M699" s="60">
        <f t="shared" si="26"/>
        <v>0.00451400008235</v>
      </c>
      <c r="N699" s="67" t="s">
        <v>251</v>
      </c>
    </row>
    <row r="700" spans="1:14" s="30" customFormat="1" ht="23.25" customHeight="1">
      <c r="A700" s="94"/>
      <c r="B700" s="12" t="s">
        <v>189</v>
      </c>
      <c r="C700" s="69" t="s">
        <v>356</v>
      </c>
      <c r="D700" s="12" t="s">
        <v>411</v>
      </c>
      <c r="E700" s="65">
        <v>44225</v>
      </c>
      <c r="F700" s="66">
        <v>44228</v>
      </c>
      <c r="G700" s="66">
        <v>44231</v>
      </c>
      <c r="H700" s="70">
        <v>0.015</v>
      </c>
      <c r="I700" s="115">
        <v>0.1124</v>
      </c>
      <c r="J700" s="113">
        <v>0</v>
      </c>
      <c r="K700" s="113">
        <v>0.1124</v>
      </c>
      <c r="L700" s="60">
        <f>+K700-((K700*0.0000001*0.125)+(K700*(1-0.0000001)*0.26))</f>
        <v>0.0831760015174</v>
      </c>
      <c r="M700" s="60">
        <f t="shared" si="26"/>
        <v>0.0831760015174</v>
      </c>
      <c r="N700" s="67" t="s">
        <v>251</v>
      </c>
    </row>
    <row r="701" spans="1:14" s="30" customFormat="1" ht="23.25" customHeight="1">
      <c r="A701" s="94"/>
      <c r="B701" s="12" t="s">
        <v>197</v>
      </c>
      <c r="C701" s="74" t="s">
        <v>357</v>
      </c>
      <c r="D701" s="73" t="s">
        <v>411</v>
      </c>
      <c r="E701" s="65">
        <v>44225</v>
      </c>
      <c r="F701" s="66">
        <v>44228</v>
      </c>
      <c r="G701" s="66">
        <v>44231</v>
      </c>
      <c r="H701" s="70">
        <v>0.015</v>
      </c>
      <c r="I701" s="115">
        <v>0.1145</v>
      </c>
      <c r="J701" s="113">
        <v>0</v>
      </c>
      <c r="K701" s="113">
        <v>0.1145</v>
      </c>
      <c r="L701" s="60">
        <f>+K701-((K701*0.0000001*0.125)+(K701*(1-0.0000001)*0.26))</f>
        <v>0.08473000154575</v>
      </c>
      <c r="M701" s="60">
        <f t="shared" si="26"/>
        <v>0.08473000154575</v>
      </c>
      <c r="N701" s="67" t="s">
        <v>251</v>
      </c>
    </row>
    <row r="702" spans="1:14" s="30" customFormat="1" ht="23.25" customHeight="1">
      <c r="A702" s="94"/>
      <c r="B702" s="12" t="s">
        <v>308</v>
      </c>
      <c r="C702" s="64" t="s">
        <v>426</v>
      </c>
      <c r="D702" s="12" t="s">
        <v>411</v>
      </c>
      <c r="E702" s="65">
        <v>44225</v>
      </c>
      <c r="F702" s="66">
        <v>44228</v>
      </c>
      <c r="G702" s="66">
        <v>44231</v>
      </c>
      <c r="H702" s="70">
        <v>0.015</v>
      </c>
      <c r="I702" s="115">
        <v>0.0062</v>
      </c>
      <c r="J702" s="113">
        <v>0</v>
      </c>
      <c r="K702" s="113">
        <v>0.0062</v>
      </c>
      <c r="L702" s="60">
        <f>+K702-((K702*0.458*0.125)+(K702*(1-0.458)*0.26))</f>
        <v>0.004971346</v>
      </c>
      <c r="M702" s="60">
        <f t="shared" si="26"/>
        <v>0.004971346</v>
      </c>
      <c r="N702" s="67" t="s">
        <v>251</v>
      </c>
    </row>
    <row r="703" spans="1:14" s="30" customFormat="1" ht="23.25" customHeight="1">
      <c r="A703" s="94"/>
      <c r="B703" s="12" t="s">
        <v>186</v>
      </c>
      <c r="C703" s="134" t="s">
        <v>363</v>
      </c>
      <c r="D703" s="135" t="s">
        <v>411</v>
      </c>
      <c r="E703" s="65">
        <v>44225</v>
      </c>
      <c r="F703" s="121">
        <v>44228</v>
      </c>
      <c r="G703" s="121">
        <v>44231</v>
      </c>
      <c r="H703" s="70">
        <v>0.015</v>
      </c>
      <c r="I703" s="115">
        <v>0.1137</v>
      </c>
      <c r="J703" s="113">
        <v>0</v>
      </c>
      <c r="K703" s="113">
        <v>0.1137</v>
      </c>
      <c r="L703" s="60">
        <f>+K703-((K703*0.458*0.125)+(K703*(1-0.458)*0.26))</f>
        <v>0.09116807099999999</v>
      </c>
      <c r="M703" s="60">
        <f t="shared" si="26"/>
        <v>0.09116807099999999</v>
      </c>
      <c r="N703" s="97" t="s">
        <v>251</v>
      </c>
    </row>
    <row r="704" spans="1:14" s="30" customFormat="1" ht="23.25" customHeight="1">
      <c r="A704" s="94"/>
      <c r="B704" s="12" t="s">
        <v>194</v>
      </c>
      <c r="C704" s="136" t="s">
        <v>364</v>
      </c>
      <c r="D704" s="137" t="s">
        <v>411</v>
      </c>
      <c r="E704" s="65">
        <v>44225</v>
      </c>
      <c r="F704" s="121">
        <v>44228</v>
      </c>
      <c r="G704" s="121">
        <v>44231</v>
      </c>
      <c r="H704" s="70">
        <v>0.015</v>
      </c>
      <c r="I704" s="115">
        <v>0.1172</v>
      </c>
      <c r="J704" s="113">
        <v>0</v>
      </c>
      <c r="K704" s="113">
        <v>0.1172</v>
      </c>
      <c r="L704" s="60">
        <f>+K704-((K704*0.458*0.125)+(K704*(1-0.458)*0.26))</f>
        <v>0.093974476</v>
      </c>
      <c r="M704" s="60">
        <f t="shared" si="26"/>
        <v>0.093974476</v>
      </c>
      <c r="N704" s="97" t="s">
        <v>251</v>
      </c>
    </row>
    <row r="705" spans="1:14" s="30" customFormat="1" ht="23.25" customHeight="1">
      <c r="A705" s="94"/>
      <c r="B705" s="12" t="s">
        <v>307</v>
      </c>
      <c r="C705" s="138" t="s">
        <v>420</v>
      </c>
      <c r="D705" s="135" t="s">
        <v>411</v>
      </c>
      <c r="E705" s="65">
        <v>44225</v>
      </c>
      <c r="F705" s="121">
        <v>44228</v>
      </c>
      <c r="G705" s="121">
        <v>44231</v>
      </c>
      <c r="H705" s="70">
        <v>0.015</v>
      </c>
      <c r="I705" s="115">
        <v>0.0064</v>
      </c>
      <c r="J705" s="113">
        <v>0</v>
      </c>
      <c r="K705" s="113">
        <v>0.0064</v>
      </c>
      <c r="L705" s="60">
        <f>+K705-((K705*0.603*0.125)+(K705*(1-0.603)*0.26))</f>
        <v>0.005256992</v>
      </c>
      <c r="M705" s="60">
        <f t="shared" si="26"/>
        <v>0.005256992</v>
      </c>
      <c r="N705" s="97" t="s">
        <v>251</v>
      </c>
    </row>
    <row r="706" spans="1:14" s="30" customFormat="1" ht="23.25" customHeight="1">
      <c r="A706" s="94"/>
      <c r="B706" s="12" t="s">
        <v>185</v>
      </c>
      <c r="C706" s="69" t="s">
        <v>366</v>
      </c>
      <c r="D706" s="12" t="s">
        <v>411</v>
      </c>
      <c r="E706" s="65">
        <v>44225</v>
      </c>
      <c r="F706" s="66">
        <v>44228</v>
      </c>
      <c r="G706" s="66">
        <v>44231</v>
      </c>
      <c r="H706" s="70">
        <v>0.015</v>
      </c>
      <c r="I706" s="115">
        <v>0.1067</v>
      </c>
      <c r="J706" s="113">
        <v>0</v>
      </c>
      <c r="K706" s="113">
        <v>0.1067</v>
      </c>
      <c r="L706" s="60">
        <f>+K706-((K706*0.603*0.125)+(K706*(1-0.603)*0.26))</f>
        <v>0.0876439135</v>
      </c>
      <c r="M706" s="60">
        <f t="shared" si="26"/>
        <v>0.0876439135</v>
      </c>
      <c r="N706" s="97" t="s">
        <v>251</v>
      </c>
    </row>
    <row r="707" spans="1:14" s="30" customFormat="1" ht="23.25" customHeight="1">
      <c r="A707" s="94"/>
      <c r="B707" s="12" t="s">
        <v>193</v>
      </c>
      <c r="C707" s="136" t="s">
        <v>367</v>
      </c>
      <c r="D707" s="73" t="s">
        <v>411</v>
      </c>
      <c r="E707" s="65">
        <v>44225</v>
      </c>
      <c r="F707" s="121">
        <v>44228</v>
      </c>
      <c r="G707" s="121">
        <v>44231</v>
      </c>
      <c r="H707" s="70">
        <v>0.015</v>
      </c>
      <c r="I707" s="115">
        <v>0.1042</v>
      </c>
      <c r="J707" s="113">
        <v>0</v>
      </c>
      <c r="K707" s="113">
        <v>0.1042</v>
      </c>
      <c r="L707" s="60">
        <f>+K707-((K707*0.603*0.125)+(K707*(1-0.603)*0.26))</f>
        <v>0.085590401</v>
      </c>
      <c r="M707" s="60">
        <f t="shared" si="26"/>
        <v>0.085590401</v>
      </c>
      <c r="N707" s="67" t="s">
        <v>251</v>
      </c>
    </row>
    <row r="708" spans="1:14" s="30" customFormat="1" ht="23.25" customHeight="1">
      <c r="A708" s="94"/>
      <c r="B708" s="12" t="s">
        <v>309</v>
      </c>
      <c r="C708" s="138" t="s">
        <v>427</v>
      </c>
      <c r="D708" s="12" t="s">
        <v>411</v>
      </c>
      <c r="E708" s="65">
        <v>44225</v>
      </c>
      <c r="F708" s="121">
        <v>44228</v>
      </c>
      <c r="G708" s="121">
        <v>44231</v>
      </c>
      <c r="H708" s="70">
        <v>0.015</v>
      </c>
      <c r="I708" s="115">
        <v>0.0064</v>
      </c>
      <c r="J708" s="113">
        <v>0</v>
      </c>
      <c r="K708" s="113">
        <v>0.0064</v>
      </c>
      <c r="L708" s="60">
        <f>+K708-((K708*0.001*0.125)+(K708*(1-0.001)*0.26))</f>
        <v>0.004736864</v>
      </c>
      <c r="M708" s="60">
        <f t="shared" si="26"/>
        <v>0.004736864</v>
      </c>
      <c r="N708" s="67" t="s">
        <v>251</v>
      </c>
    </row>
    <row r="709" spans="1:14" s="30" customFormat="1" ht="23.25" customHeight="1">
      <c r="A709" s="94"/>
      <c r="B709" s="12" t="s">
        <v>187</v>
      </c>
      <c r="C709" s="134" t="s">
        <v>368</v>
      </c>
      <c r="D709" s="12" t="s">
        <v>411</v>
      </c>
      <c r="E709" s="65">
        <v>44225</v>
      </c>
      <c r="F709" s="121">
        <v>44228</v>
      </c>
      <c r="G709" s="121">
        <v>44231</v>
      </c>
      <c r="H709" s="70">
        <v>0.015</v>
      </c>
      <c r="I709" s="115">
        <v>0.1123</v>
      </c>
      <c r="J709" s="113">
        <v>0</v>
      </c>
      <c r="K709" s="113">
        <v>0.1123</v>
      </c>
      <c r="L709" s="60">
        <f>+K709-((K709*0.001*0.125)+(K709*(1-0.001)*0.26))</f>
        <v>0.0831171605</v>
      </c>
      <c r="M709" s="60">
        <f t="shared" si="26"/>
        <v>0.0831171605</v>
      </c>
      <c r="N709" s="97" t="s">
        <v>251</v>
      </c>
    </row>
    <row r="710" spans="1:14" s="30" customFormat="1" ht="23.25" customHeight="1">
      <c r="A710" s="94"/>
      <c r="B710" s="12" t="s">
        <v>195</v>
      </c>
      <c r="C710" s="136" t="s">
        <v>369</v>
      </c>
      <c r="D710" s="73" t="s">
        <v>411</v>
      </c>
      <c r="E710" s="65">
        <v>44225</v>
      </c>
      <c r="F710" s="121">
        <v>44228</v>
      </c>
      <c r="G710" s="121">
        <v>44231</v>
      </c>
      <c r="H710" s="70">
        <v>0.015</v>
      </c>
      <c r="I710" s="115">
        <v>0.1161</v>
      </c>
      <c r="J710" s="113">
        <v>0</v>
      </c>
      <c r="K710" s="113">
        <v>0.1161</v>
      </c>
      <c r="L710" s="60">
        <f>+K710-((K710*0.001*0.125)+(K710*(1-0.001)*0.26))</f>
        <v>0.0859296735</v>
      </c>
      <c r="M710" s="60">
        <f t="shared" si="26"/>
        <v>0.0859296735</v>
      </c>
      <c r="N710" s="97" t="s">
        <v>251</v>
      </c>
    </row>
    <row r="711" spans="1:14" s="30" customFormat="1" ht="23.25" customHeight="1">
      <c r="A711" s="94"/>
      <c r="B711" s="12" t="s">
        <v>312</v>
      </c>
      <c r="C711" s="138" t="s">
        <v>428</v>
      </c>
      <c r="D711" s="12" t="s">
        <v>411</v>
      </c>
      <c r="E711" s="65">
        <v>44225</v>
      </c>
      <c r="F711" s="121">
        <v>44228</v>
      </c>
      <c r="G711" s="121">
        <v>44231</v>
      </c>
      <c r="H711" s="70">
        <v>0.035</v>
      </c>
      <c r="I711" s="115">
        <v>0.0135</v>
      </c>
      <c r="J711" s="113">
        <v>0</v>
      </c>
      <c r="K711" s="113">
        <v>0.0135</v>
      </c>
      <c r="L711" s="60">
        <f>+K711-((K711*0.0075*0.125)+(K711*(1-0.0075)*0.26))</f>
        <v>0.01000366875</v>
      </c>
      <c r="M711" s="60">
        <f t="shared" si="26"/>
        <v>0.01000366875</v>
      </c>
      <c r="N711" s="97" t="s">
        <v>251</v>
      </c>
    </row>
    <row r="712" spans="1:14" s="30" customFormat="1" ht="23.25" customHeight="1">
      <c r="A712" s="94"/>
      <c r="B712" s="12" t="s">
        <v>190</v>
      </c>
      <c r="C712" s="69" t="s">
        <v>370</v>
      </c>
      <c r="D712" s="12" t="s">
        <v>411</v>
      </c>
      <c r="E712" s="65">
        <v>44225</v>
      </c>
      <c r="F712" s="66">
        <v>44228</v>
      </c>
      <c r="G712" s="66">
        <v>44231</v>
      </c>
      <c r="H712" s="70">
        <v>0.035</v>
      </c>
      <c r="I712" s="115">
        <v>0.2555</v>
      </c>
      <c r="J712" s="113">
        <v>0</v>
      </c>
      <c r="K712" s="113">
        <v>0.2555</v>
      </c>
      <c r="L712" s="60">
        <f>+K712-((K712*0.0075*0.125)+(K712*(1-0.0075)*0.26))</f>
        <v>0.18932869375</v>
      </c>
      <c r="M712" s="60">
        <f t="shared" si="26"/>
        <v>0.18932869375</v>
      </c>
      <c r="N712" s="97" t="s">
        <v>251</v>
      </c>
    </row>
    <row r="713" spans="1:14" s="30" customFormat="1" ht="23.25" customHeight="1">
      <c r="A713" s="94"/>
      <c r="B713" s="12" t="s">
        <v>198</v>
      </c>
      <c r="C713" s="74" t="s">
        <v>371</v>
      </c>
      <c r="D713" s="73" t="s">
        <v>411</v>
      </c>
      <c r="E713" s="65">
        <v>44225</v>
      </c>
      <c r="F713" s="66">
        <v>44228</v>
      </c>
      <c r="G713" s="66">
        <v>44231</v>
      </c>
      <c r="H713" s="70">
        <v>0.035</v>
      </c>
      <c r="I713" s="115">
        <v>0.2564</v>
      </c>
      <c r="J713" s="113">
        <v>0</v>
      </c>
      <c r="K713" s="113">
        <v>0.2564</v>
      </c>
      <c r="L713" s="60">
        <f>+K713-((K713*0.0075*0.125)+(K713*(1-0.0075)*0.26))</f>
        <v>0.189995605</v>
      </c>
      <c r="M713" s="60">
        <f aca="true" t="shared" si="27" ref="M713:M744">J713+L713</f>
        <v>0.189995605</v>
      </c>
      <c r="N713" s="97" t="s">
        <v>251</v>
      </c>
    </row>
    <row r="714" spans="1:14" s="30" customFormat="1" ht="23.25" customHeight="1">
      <c r="A714" s="94"/>
      <c r="B714" s="12" t="s">
        <v>516</v>
      </c>
      <c r="C714" s="64" t="s">
        <v>518</v>
      </c>
      <c r="D714" s="12" t="s">
        <v>411</v>
      </c>
      <c r="E714" s="65">
        <v>44225</v>
      </c>
      <c r="F714" s="66">
        <v>44228</v>
      </c>
      <c r="G714" s="66">
        <v>44231</v>
      </c>
      <c r="H714" s="70">
        <v>0.02</v>
      </c>
      <c r="I714" s="115">
        <v>0.1347</v>
      </c>
      <c r="J714" s="113">
        <v>0</v>
      </c>
      <c r="K714" s="113">
        <v>0.1347</v>
      </c>
      <c r="L714" s="60">
        <f>+K714-((K714*0.505*0.125)+(K714*(1-0.505)*0.26))</f>
        <v>0.10886117249999999</v>
      </c>
      <c r="M714" s="60">
        <f t="shared" si="27"/>
        <v>0.10886117249999999</v>
      </c>
      <c r="N714" s="97" t="s">
        <v>251</v>
      </c>
    </row>
    <row r="715" spans="1:14" s="30" customFormat="1" ht="23.25" customHeight="1">
      <c r="A715" s="94"/>
      <c r="B715" s="12" t="s">
        <v>517</v>
      </c>
      <c r="C715" s="64" t="s">
        <v>519</v>
      </c>
      <c r="D715" s="12" t="s">
        <v>411</v>
      </c>
      <c r="E715" s="65">
        <v>44225</v>
      </c>
      <c r="F715" s="66">
        <v>44228</v>
      </c>
      <c r="G715" s="66">
        <v>44231</v>
      </c>
      <c r="H715" s="70">
        <v>0.02</v>
      </c>
      <c r="I715" s="115">
        <v>0.1356</v>
      </c>
      <c r="J715" s="113">
        <v>0</v>
      </c>
      <c r="K715" s="113">
        <v>0.1356</v>
      </c>
      <c r="L715" s="60">
        <f>+K715-((K715*0.505*0.125)+(K715*(1-0.505)*0.26))</f>
        <v>0.10958852999999999</v>
      </c>
      <c r="M715" s="60">
        <f t="shared" si="27"/>
        <v>0.10958852999999999</v>
      </c>
      <c r="N715" s="97" t="s">
        <v>251</v>
      </c>
    </row>
    <row r="716" spans="1:14" s="30" customFormat="1" ht="23.25" customHeight="1">
      <c r="A716" s="94"/>
      <c r="B716" s="12" t="s">
        <v>313</v>
      </c>
      <c r="C716" s="64" t="s">
        <v>429</v>
      </c>
      <c r="D716" s="12" t="s">
        <v>411</v>
      </c>
      <c r="E716" s="65">
        <v>44225</v>
      </c>
      <c r="F716" s="66">
        <v>44228</v>
      </c>
      <c r="G716" s="66">
        <v>44231</v>
      </c>
      <c r="H716" s="70">
        <v>0.01</v>
      </c>
      <c r="I716" s="115">
        <v>0.0043</v>
      </c>
      <c r="J716" s="113">
        <v>0</v>
      </c>
      <c r="K716" s="113">
        <v>0.0043</v>
      </c>
      <c r="L716" s="60">
        <f>+K716-((K716*0.135*0.125)+(K716*(1-0.135)*0.26))</f>
        <v>0.0032603675</v>
      </c>
      <c r="M716" s="60">
        <f t="shared" si="27"/>
        <v>0.0032603675</v>
      </c>
      <c r="N716" s="97" t="s">
        <v>251</v>
      </c>
    </row>
    <row r="717" spans="1:252" s="30" customFormat="1" ht="23.25" customHeight="1">
      <c r="A717" s="94"/>
      <c r="B717" s="12" t="s">
        <v>310</v>
      </c>
      <c r="C717" s="64" t="s">
        <v>424</v>
      </c>
      <c r="D717" s="12" t="s">
        <v>411</v>
      </c>
      <c r="E717" s="65">
        <v>44253</v>
      </c>
      <c r="F717" s="66">
        <v>44256</v>
      </c>
      <c r="G717" s="66">
        <v>44259</v>
      </c>
      <c r="H717" s="70">
        <v>0.05</v>
      </c>
      <c r="I717" s="113">
        <v>0.0205</v>
      </c>
      <c r="J717" s="113">
        <v>0</v>
      </c>
      <c r="K717" s="113">
        <v>0.0205</v>
      </c>
      <c r="L717" s="60">
        <f>+K717-((K717*0.036*0.125)+(K717*(1-0.036)*0.26))</f>
        <v>0.01526963</v>
      </c>
      <c r="M717" s="60">
        <f t="shared" si="27"/>
        <v>0.01526963</v>
      </c>
      <c r="N717" s="67" t="s">
        <v>251</v>
      </c>
      <c r="IR717" s="94"/>
    </row>
    <row r="718" spans="1:252" s="30" customFormat="1" ht="23.25" customHeight="1">
      <c r="A718" s="94"/>
      <c r="B718" s="12" t="s">
        <v>188</v>
      </c>
      <c r="C718" s="69" t="s">
        <v>339</v>
      </c>
      <c r="D718" s="12" t="s">
        <v>411</v>
      </c>
      <c r="E718" s="65">
        <v>44253</v>
      </c>
      <c r="F718" s="66">
        <v>44256</v>
      </c>
      <c r="G718" s="66">
        <v>44259</v>
      </c>
      <c r="H718" s="70">
        <v>0.05</v>
      </c>
      <c r="I718" s="113">
        <v>0.3588</v>
      </c>
      <c r="J718" s="113">
        <v>0</v>
      </c>
      <c r="K718" s="113">
        <v>0.3588</v>
      </c>
      <c r="L718" s="60">
        <f>+K718-((K718*0.036*0.125)+(K718*(1-0.036)*0.26))</f>
        <v>0.267255768</v>
      </c>
      <c r="M718" s="60">
        <f t="shared" si="27"/>
        <v>0.267255768</v>
      </c>
      <c r="N718" s="67" t="s">
        <v>251</v>
      </c>
      <c r="IR718" s="94"/>
    </row>
    <row r="719" spans="1:252" s="30" customFormat="1" ht="23.25" customHeight="1">
      <c r="A719" s="94"/>
      <c r="B719" s="12" t="s">
        <v>196</v>
      </c>
      <c r="C719" s="74" t="s">
        <v>340</v>
      </c>
      <c r="D719" s="73" t="s">
        <v>411</v>
      </c>
      <c r="E719" s="65">
        <v>44253</v>
      </c>
      <c r="F719" s="66">
        <v>44256</v>
      </c>
      <c r="G719" s="66">
        <v>44259</v>
      </c>
      <c r="H719" s="70">
        <v>0.05</v>
      </c>
      <c r="I719" s="113">
        <v>0.3726</v>
      </c>
      <c r="J719" s="113">
        <v>0</v>
      </c>
      <c r="K719" s="113">
        <v>0.3726</v>
      </c>
      <c r="L719" s="60">
        <f>+K719-((K719*0.036*0.125)+(K719*(1-0.036)*0.26))</f>
        <v>0.277534836</v>
      </c>
      <c r="M719" s="60">
        <f t="shared" si="27"/>
        <v>0.277534836</v>
      </c>
      <c r="N719" s="67" t="s">
        <v>251</v>
      </c>
      <c r="IR719" s="94"/>
    </row>
    <row r="720" spans="1:14" s="30" customFormat="1" ht="23.25" customHeight="1">
      <c r="A720" s="94"/>
      <c r="B720" s="12" t="s">
        <v>191</v>
      </c>
      <c r="C720" s="69" t="s">
        <v>346</v>
      </c>
      <c r="D720" s="12" t="s">
        <v>411</v>
      </c>
      <c r="E720" s="65">
        <v>44253</v>
      </c>
      <c r="F720" s="66">
        <v>44256</v>
      </c>
      <c r="G720" s="66">
        <v>44259</v>
      </c>
      <c r="H720" s="67">
        <v>0.035</v>
      </c>
      <c r="I720" s="113">
        <v>0.0141</v>
      </c>
      <c r="J720" s="113">
        <v>0</v>
      </c>
      <c r="K720" s="113">
        <v>0.0141</v>
      </c>
      <c r="L720" s="60">
        <f>+K720-((K720*0.713*0.125)+(K720*(1-0.713)*0.26))</f>
        <v>0.0117911955</v>
      </c>
      <c r="M720" s="60">
        <f t="shared" si="27"/>
        <v>0.0117911955</v>
      </c>
      <c r="N720" s="67" t="s">
        <v>251</v>
      </c>
    </row>
    <row r="721" spans="1:14" s="30" customFormat="1" ht="23.25" customHeight="1">
      <c r="A721" s="94"/>
      <c r="B721" s="12" t="s">
        <v>199</v>
      </c>
      <c r="C721" s="74" t="s">
        <v>347</v>
      </c>
      <c r="D721" s="73" t="s">
        <v>411</v>
      </c>
      <c r="E721" s="65">
        <v>44253</v>
      </c>
      <c r="F721" s="66">
        <v>44256</v>
      </c>
      <c r="G721" s="66">
        <v>44259</v>
      </c>
      <c r="H721" s="67">
        <v>0.035</v>
      </c>
      <c r="I721" s="113">
        <v>0.014</v>
      </c>
      <c r="J721" s="113">
        <v>0</v>
      </c>
      <c r="K721" s="113">
        <v>0.014</v>
      </c>
      <c r="L721" s="60">
        <f>+K721-((K721*0.713*0.125)+(K721*(1-0.713)*0.26))</f>
        <v>0.01170757</v>
      </c>
      <c r="M721" s="60">
        <f t="shared" si="27"/>
        <v>0.01170757</v>
      </c>
      <c r="N721" s="67" t="s">
        <v>251</v>
      </c>
    </row>
    <row r="722" spans="1:14" s="30" customFormat="1" ht="23.25" customHeight="1">
      <c r="A722" s="94"/>
      <c r="B722" s="12" t="s">
        <v>306</v>
      </c>
      <c r="C722" s="64" t="s">
        <v>430</v>
      </c>
      <c r="D722" s="12" t="s">
        <v>411</v>
      </c>
      <c r="E722" s="65">
        <v>44253</v>
      </c>
      <c r="F722" s="66">
        <v>44256</v>
      </c>
      <c r="G722" s="66">
        <v>44259</v>
      </c>
      <c r="H722" s="70">
        <v>0.025</v>
      </c>
      <c r="I722" s="113">
        <v>0.0103</v>
      </c>
      <c r="J722" s="113">
        <v>0</v>
      </c>
      <c r="K722" s="113">
        <v>0.0103</v>
      </c>
      <c r="L722" s="60">
        <f>+K722-((K722*0.0002*0.125)+(K722*(1-0.0002)*0.26))</f>
        <v>0.007622278099999999</v>
      </c>
      <c r="M722" s="60">
        <f t="shared" si="27"/>
        <v>0.007622278099999999</v>
      </c>
      <c r="N722" s="67" t="s">
        <v>251</v>
      </c>
    </row>
    <row r="723" spans="1:14" s="30" customFormat="1" ht="23.25" customHeight="1">
      <c r="A723" s="94"/>
      <c r="B723" s="12" t="s">
        <v>184</v>
      </c>
      <c r="C723" s="69" t="s">
        <v>354</v>
      </c>
      <c r="D723" s="12" t="s">
        <v>411</v>
      </c>
      <c r="E723" s="65">
        <v>44253</v>
      </c>
      <c r="F723" s="66">
        <v>44256</v>
      </c>
      <c r="G723" s="66">
        <v>44259</v>
      </c>
      <c r="H723" s="70">
        <v>0.025</v>
      </c>
      <c r="I723" s="113">
        <v>0.2075</v>
      </c>
      <c r="J723" s="113">
        <v>0</v>
      </c>
      <c r="K723" s="113">
        <v>0.2075</v>
      </c>
      <c r="L723" s="60">
        <f>+K723-((K723*0.0002*0.125)+(K723*(1-0.0002)*0.26))</f>
        <v>0.1535556025</v>
      </c>
      <c r="M723" s="60">
        <f t="shared" si="27"/>
        <v>0.1535556025</v>
      </c>
      <c r="N723" s="67" t="s">
        <v>251</v>
      </c>
    </row>
    <row r="724" spans="1:14" s="30" customFormat="1" ht="23.25" customHeight="1">
      <c r="A724" s="94"/>
      <c r="B724" s="12" t="s">
        <v>192</v>
      </c>
      <c r="C724" s="74" t="s">
        <v>355</v>
      </c>
      <c r="D724" s="73" t="s">
        <v>411</v>
      </c>
      <c r="E724" s="65">
        <v>44253</v>
      </c>
      <c r="F724" s="66">
        <v>44256</v>
      </c>
      <c r="G724" s="66">
        <v>44259</v>
      </c>
      <c r="H724" s="70">
        <v>0.025</v>
      </c>
      <c r="I724" s="113">
        <v>0.2096</v>
      </c>
      <c r="J724" s="113">
        <v>0</v>
      </c>
      <c r="K724" s="113">
        <v>0.2096</v>
      </c>
      <c r="L724" s="60">
        <f>+K724-((K724*0.0002*0.125)+(K724*(1-0.0002)*0.26))</f>
        <v>0.1551096592</v>
      </c>
      <c r="M724" s="60">
        <f t="shared" si="27"/>
        <v>0.1551096592</v>
      </c>
      <c r="N724" s="67" t="s">
        <v>251</v>
      </c>
    </row>
    <row r="725" spans="1:14" s="30" customFormat="1" ht="23.25" customHeight="1">
      <c r="A725" s="94"/>
      <c r="B725" s="12" t="s">
        <v>311</v>
      </c>
      <c r="C725" s="64" t="s">
        <v>425</v>
      </c>
      <c r="D725" s="12" t="s">
        <v>411</v>
      </c>
      <c r="E725" s="65">
        <v>44253</v>
      </c>
      <c r="F725" s="66">
        <v>44256</v>
      </c>
      <c r="G725" s="66">
        <v>44259</v>
      </c>
      <c r="H725" s="70">
        <v>0.015</v>
      </c>
      <c r="I725" s="113">
        <v>0.0061</v>
      </c>
      <c r="J725" s="113">
        <v>0</v>
      </c>
      <c r="K725" s="113">
        <v>0.0061</v>
      </c>
      <c r="L725" s="60">
        <f>+K725-((K725*0.0000001*0.125)+(K725*(1-0.0000001)*0.26))</f>
        <v>0.00451400008235</v>
      </c>
      <c r="M725" s="60">
        <f t="shared" si="27"/>
        <v>0.00451400008235</v>
      </c>
      <c r="N725" s="67" t="s">
        <v>251</v>
      </c>
    </row>
    <row r="726" spans="1:14" s="30" customFormat="1" ht="23.25" customHeight="1">
      <c r="A726" s="94"/>
      <c r="B726" s="12" t="s">
        <v>189</v>
      </c>
      <c r="C726" s="69" t="s">
        <v>356</v>
      </c>
      <c r="D726" s="12" t="s">
        <v>411</v>
      </c>
      <c r="E726" s="65">
        <v>44253</v>
      </c>
      <c r="F726" s="66">
        <v>44256</v>
      </c>
      <c r="G726" s="66">
        <v>44259</v>
      </c>
      <c r="H726" s="70">
        <v>0.015</v>
      </c>
      <c r="I726" s="113">
        <v>0.1124</v>
      </c>
      <c r="J726" s="113">
        <v>0</v>
      </c>
      <c r="K726" s="113">
        <v>0.1124</v>
      </c>
      <c r="L726" s="60">
        <f>+K726-((K726*0.0000001*0.125)+(K726*(1-0.0000001)*0.26))</f>
        <v>0.0831760015174</v>
      </c>
      <c r="M726" s="60">
        <f t="shared" si="27"/>
        <v>0.0831760015174</v>
      </c>
      <c r="N726" s="67" t="s">
        <v>251</v>
      </c>
    </row>
    <row r="727" spans="1:14" s="30" customFormat="1" ht="23.25" customHeight="1">
      <c r="A727" s="94"/>
      <c r="B727" s="12" t="s">
        <v>197</v>
      </c>
      <c r="C727" s="74" t="s">
        <v>357</v>
      </c>
      <c r="D727" s="73" t="s">
        <v>411</v>
      </c>
      <c r="E727" s="65">
        <v>44253</v>
      </c>
      <c r="F727" s="66">
        <v>44256</v>
      </c>
      <c r="G727" s="66">
        <v>44259</v>
      </c>
      <c r="H727" s="70">
        <v>0.015</v>
      </c>
      <c r="I727" s="113">
        <v>0.1145</v>
      </c>
      <c r="J727" s="113">
        <v>0</v>
      </c>
      <c r="K727" s="113">
        <v>0.1145</v>
      </c>
      <c r="L727" s="60">
        <f>+K727-((K727*0.0000001*0.125)+(K727*(1-0.0000001)*0.26))</f>
        <v>0.08473000154575</v>
      </c>
      <c r="M727" s="60">
        <f t="shared" si="27"/>
        <v>0.08473000154575</v>
      </c>
      <c r="N727" s="67" t="s">
        <v>251</v>
      </c>
    </row>
    <row r="728" spans="1:14" s="30" customFormat="1" ht="23.25" customHeight="1">
      <c r="A728" s="94"/>
      <c r="B728" s="12" t="s">
        <v>308</v>
      </c>
      <c r="C728" s="64" t="s">
        <v>426</v>
      </c>
      <c r="D728" s="12" t="s">
        <v>411</v>
      </c>
      <c r="E728" s="65">
        <v>44253</v>
      </c>
      <c r="F728" s="66">
        <v>44256</v>
      </c>
      <c r="G728" s="66">
        <v>44259</v>
      </c>
      <c r="H728" s="70">
        <v>0.015</v>
      </c>
      <c r="I728" s="113">
        <v>0.0062</v>
      </c>
      <c r="J728" s="113">
        <v>0</v>
      </c>
      <c r="K728" s="113">
        <v>0.0062</v>
      </c>
      <c r="L728" s="60">
        <f>+K728-((K728*0.458*0.125)+(K728*(1-0.458)*0.26))</f>
        <v>0.004971346</v>
      </c>
      <c r="M728" s="60">
        <f t="shared" si="27"/>
        <v>0.004971346</v>
      </c>
      <c r="N728" s="67" t="s">
        <v>251</v>
      </c>
    </row>
    <row r="729" spans="1:14" s="30" customFormat="1" ht="23.25" customHeight="1">
      <c r="A729" s="94"/>
      <c r="B729" s="12" t="s">
        <v>186</v>
      </c>
      <c r="C729" s="69" t="s">
        <v>363</v>
      </c>
      <c r="D729" s="12" t="s">
        <v>411</v>
      </c>
      <c r="E729" s="65">
        <v>44253</v>
      </c>
      <c r="F729" s="66">
        <v>44256</v>
      </c>
      <c r="G729" s="66">
        <v>44259</v>
      </c>
      <c r="H729" s="70">
        <v>0.015</v>
      </c>
      <c r="I729" s="113">
        <v>0.1137</v>
      </c>
      <c r="J729" s="113">
        <v>0</v>
      </c>
      <c r="K729" s="113">
        <v>0.1137</v>
      </c>
      <c r="L729" s="60">
        <f>+K729-((K729*0.458*0.125)+(K729*(1-0.458)*0.26))</f>
        <v>0.09116807099999999</v>
      </c>
      <c r="M729" s="60">
        <f t="shared" si="27"/>
        <v>0.09116807099999999</v>
      </c>
      <c r="N729" s="67" t="s">
        <v>251</v>
      </c>
    </row>
    <row r="730" spans="1:14" s="30" customFormat="1" ht="23.25" customHeight="1">
      <c r="A730" s="94"/>
      <c r="B730" s="12" t="s">
        <v>194</v>
      </c>
      <c r="C730" s="74" t="s">
        <v>364</v>
      </c>
      <c r="D730" s="73" t="s">
        <v>411</v>
      </c>
      <c r="E730" s="65">
        <v>44253</v>
      </c>
      <c r="F730" s="66">
        <v>44256</v>
      </c>
      <c r="G730" s="66">
        <v>44259</v>
      </c>
      <c r="H730" s="70">
        <v>0.015</v>
      </c>
      <c r="I730" s="113">
        <v>0.1172</v>
      </c>
      <c r="J730" s="113">
        <v>0</v>
      </c>
      <c r="K730" s="113">
        <v>0.1172</v>
      </c>
      <c r="L730" s="60">
        <f>+K730-((K730*0.458*0.125)+(K730*(1-0.458)*0.26))</f>
        <v>0.093974476</v>
      </c>
      <c r="M730" s="60">
        <f t="shared" si="27"/>
        <v>0.093974476</v>
      </c>
      <c r="N730" s="67" t="s">
        <v>251</v>
      </c>
    </row>
    <row r="731" spans="1:14" s="30" customFormat="1" ht="23.25" customHeight="1">
      <c r="A731" s="94"/>
      <c r="B731" s="12" t="s">
        <v>307</v>
      </c>
      <c r="C731" s="64" t="s">
        <v>420</v>
      </c>
      <c r="D731" s="12" t="s">
        <v>411</v>
      </c>
      <c r="E731" s="65">
        <v>44253</v>
      </c>
      <c r="F731" s="66">
        <v>44256</v>
      </c>
      <c r="G731" s="66">
        <v>44259</v>
      </c>
      <c r="H731" s="70">
        <v>0.015</v>
      </c>
      <c r="I731" s="113">
        <v>0.0064</v>
      </c>
      <c r="J731" s="113">
        <v>0</v>
      </c>
      <c r="K731" s="113">
        <v>0.0064</v>
      </c>
      <c r="L731" s="60">
        <f>+K731-((K731*0.603*0.125)+(K731*(1-0.603)*0.26))</f>
        <v>0.005256992</v>
      </c>
      <c r="M731" s="60">
        <f t="shared" si="27"/>
        <v>0.005256992</v>
      </c>
      <c r="N731" s="67" t="s">
        <v>251</v>
      </c>
    </row>
    <row r="732" spans="1:14" s="30" customFormat="1" ht="23.25" customHeight="1">
      <c r="A732" s="94"/>
      <c r="B732" s="12" t="s">
        <v>185</v>
      </c>
      <c r="C732" s="69" t="s">
        <v>366</v>
      </c>
      <c r="D732" s="12" t="s">
        <v>411</v>
      </c>
      <c r="E732" s="65">
        <v>44253</v>
      </c>
      <c r="F732" s="66">
        <v>44256</v>
      </c>
      <c r="G732" s="66">
        <v>44259</v>
      </c>
      <c r="H732" s="70">
        <v>0.015</v>
      </c>
      <c r="I732" s="113">
        <v>0.1067</v>
      </c>
      <c r="J732" s="113">
        <v>0</v>
      </c>
      <c r="K732" s="113">
        <v>0.1067</v>
      </c>
      <c r="L732" s="60">
        <f>+K732-((K732*0.603*0.125)+(K732*(1-0.603)*0.26))</f>
        <v>0.0876439135</v>
      </c>
      <c r="M732" s="60">
        <f t="shared" si="27"/>
        <v>0.0876439135</v>
      </c>
      <c r="N732" s="67" t="s">
        <v>251</v>
      </c>
    </row>
    <row r="733" spans="1:14" s="30" customFormat="1" ht="23.25" customHeight="1">
      <c r="A733" s="94"/>
      <c r="B733" s="12" t="s">
        <v>193</v>
      </c>
      <c r="C733" s="74" t="s">
        <v>367</v>
      </c>
      <c r="D733" s="73" t="s">
        <v>411</v>
      </c>
      <c r="E733" s="65">
        <v>44253</v>
      </c>
      <c r="F733" s="66">
        <v>44256</v>
      </c>
      <c r="G733" s="66">
        <v>44259</v>
      </c>
      <c r="H733" s="70">
        <v>0.015</v>
      </c>
      <c r="I733" s="113">
        <v>0.1042</v>
      </c>
      <c r="J733" s="113">
        <v>0</v>
      </c>
      <c r="K733" s="113">
        <v>0.1042</v>
      </c>
      <c r="L733" s="60">
        <f>+K733-((K733*0.603*0.125)+(K733*(1-0.603)*0.26))</f>
        <v>0.085590401</v>
      </c>
      <c r="M733" s="60">
        <f t="shared" si="27"/>
        <v>0.085590401</v>
      </c>
      <c r="N733" s="67" t="s">
        <v>251</v>
      </c>
    </row>
    <row r="734" spans="1:14" s="30" customFormat="1" ht="23.25" customHeight="1">
      <c r="A734" s="94"/>
      <c r="B734" s="12" t="s">
        <v>309</v>
      </c>
      <c r="C734" s="64" t="s">
        <v>427</v>
      </c>
      <c r="D734" s="12" t="s">
        <v>411</v>
      </c>
      <c r="E734" s="65">
        <v>44253</v>
      </c>
      <c r="F734" s="66">
        <v>44256</v>
      </c>
      <c r="G734" s="66">
        <v>44259</v>
      </c>
      <c r="H734" s="70">
        <v>0.015</v>
      </c>
      <c r="I734" s="113">
        <v>0.0064</v>
      </c>
      <c r="J734" s="113">
        <v>0</v>
      </c>
      <c r="K734" s="113">
        <v>0.0064</v>
      </c>
      <c r="L734" s="60">
        <f>+K734-((K734*0.001*0.125)+(K734*(1-0.001)*0.26))</f>
        <v>0.004736864</v>
      </c>
      <c r="M734" s="60">
        <f t="shared" si="27"/>
        <v>0.004736864</v>
      </c>
      <c r="N734" s="67" t="s">
        <v>251</v>
      </c>
    </row>
    <row r="735" spans="1:14" s="30" customFormat="1" ht="23.25" customHeight="1">
      <c r="A735" s="94"/>
      <c r="B735" s="12" t="s">
        <v>187</v>
      </c>
      <c r="C735" s="69" t="s">
        <v>368</v>
      </c>
      <c r="D735" s="12" t="s">
        <v>411</v>
      </c>
      <c r="E735" s="65">
        <v>44253</v>
      </c>
      <c r="F735" s="66">
        <v>44256</v>
      </c>
      <c r="G735" s="66">
        <v>44259</v>
      </c>
      <c r="H735" s="70">
        <v>0.015</v>
      </c>
      <c r="I735" s="113">
        <v>0.1123</v>
      </c>
      <c r="J735" s="113">
        <v>0</v>
      </c>
      <c r="K735" s="113">
        <v>0.1123</v>
      </c>
      <c r="L735" s="60">
        <f>+K735-((K735*0.001*0.125)+(K735*(1-0.001)*0.26))</f>
        <v>0.0831171605</v>
      </c>
      <c r="M735" s="60">
        <f t="shared" si="27"/>
        <v>0.0831171605</v>
      </c>
      <c r="N735" s="67" t="s">
        <v>251</v>
      </c>
    </row>
    <row r="736" spans="1:14" s="30" customFormat="1" ht="23.25" customHeight="1">
      <c r="A736" s="94"/>
      <c r="B736" s="12" t="s">
        <v>195</v>
      </c>
      <c r="C736" s="74" t="s">
        <v>369</v>
      </c>
      <c r="D736" s="73" t="s">
        <v>411</v>
      </c>
      <c r="E736" s="65">
        <v>44253</v>
      </c>
      <c r="F736" s="66">
        <v>44256</v>
      </c>
      <c r="G736" s="66">
        <v>44259</v>
      </c>
      <c r="H736" s="70">
        <v>0.015</v>
      </c>
      <c r="I736" s="113">
        <v>0.1161</v>
      </c>
      <c r="J736" s="113">
        <v>0</v>
      </c>
      <c r="K736" s="113">
        <v>0.1161</v>
      </c>
      <c r="L736" s="60">
        <f>+K736-((K736*0.001*0.125)+(K736*(1-0.001)*0.26))</f>
        <v>0.0859296735</v>
      </c>
      <c r="M736" s="60">
        <f t="shared" si="27"/>
        <v>0.0859296735</v>
      </c>
      <c r="N736" s="67" t="s">
        <v>251</v>
      </c>
    </row>
    <row r="737" spans="1:14" s="30" customFormat="1" ht="23.25" customHeight="1">
      <c r="A737" s="94"/>
      <c r="B737" s="12" t="s">
        <v>312</v>
      </c>
      <c r="C737" s="64" t="s">
        <v>428</v>
      </c>
      <c r="D737" s="12" t="s">
        <v>411</v>
      </c>
      <c r="E737" s="65">
        <v>44253</v>
      </c>
      <c r="F737" s="66">
        <v>44256</v>
      </c>
      <c r="G737" s="66">
        <v>44259</v>
      </c>
      <c r="H737" s="70">
        <v>0.035</v>
      </c>
      <c r="I737" s="113">
        <v>0.0135</v>
      </c>
      <c r="J737" s="113">
        <v>0</v>
      </c>
      <c r="K737" s="113">
        <v>0.0135</v>
      </c>
      <c r="L737" s="60">
        <f>+K737-((K737*0.0075*0.125)+(K737*(1-0.0075)*0.26))</f>
        <v>0.01000366875</v>
      </c>
      <c r="M737" s="60">
        <f t="shared" si="27"/>
        <v>0.01000366875</v>
      </c>
      <c r="N737" s="67" t="s">
        <v>251</v>
      </c>
    </row>
    <row r="738" spans="1:14" s="30" customFormat="1" ht="23.25" customHeight="1">
      <c r="A738" s="94"/>
      <c r="B738" s="12" t="s">
        <v>190</v>
      </c>
      <c r="C738" s="69" t="s">
        <v>370</v>
      </c>
      <c r="D738" s="12" t="s">
        <v>411</v>
      </c>
      <c r="E738" s="65">
        <v>44253</v>
      </c>
      <c r="F738" s="66">
        <v>44256</v>
      </c>
      <c r="G738" s="66">
        <v>44259</v>
      </c>
      <c r="H738" s="70">
        <v>0.035</v>
      </c>
      <c r="I738" s="113">
        <v>0.2555</v>
      </c>
      <c r="J738" s="113">
        <v>0</v>
      </c>
      <c r="K738" s="113">
        <v>0.2555</v>
      </c>
      <c r="L738" s="60">
        <f>+K738-((K738*0.0075*0.125)+(K738*(1-0.0075)*0.26))</f>
        <v>0.18932869375</v>
      </c>
      <c r="M738" s="60">
        <f t="shared" si="27"/>
        <v>0.18932869375</v>
      </c>
      <c r="N738" s="67" t="s">
        <v>251</v>
      </c>
    </row>
    <row r="739" spans="1:14" s="30" customFormat="1" ht="23.25" customHeight="1">
      <c r="A739" s="94"/>
      <c r="B739" s="12" t="s">
        <v>198</v>
      </c>
      <c r="C739" s="74" t="s">
        <v>371</v>
      </c>
      <c r="D739" s="73" t="s">
        <v>411</v>
      </c>
      <c r="E739" s="65">
        <v>44253</v>
      </c>
      <c r="F739" s="66">
        <v>44256</v>
      </c>
      <c r="G739" s="66">
        <v>44259</v>
      </c>
      <c r="H739" s="70">
        <v>0.035</v>
      </c>
      <c r="I739" s="113">
        <v>0.2564</v>
      </c>
      <c r="J739" s="113">
        <v>0</v>
      </c>
      <c r="K739" s="113">
        <v>0.2564</v>
      </c>
      <c r="L739" s="60">
        <f>+K739-((K739*0.0075*0.125)+(K739*(1-0.0075)*0.26))</f>
        <v>0.189995605</v>
      </c>
      <c r="M739" s="60">
        <f t="shared" si="27"/>
        <v>0.189995605</v>
      </c>
      <c r="N739" s="67" t="s">
        <v>251</v>
      </c>
    </row>
    <row r="740" spans="1:14" s="30" customFormat="1" ht="23.25" customHeight="1">
      <c r="A740" s="94"/>
      <c r="B740" s="12" t="s">
        <v>516</v>
      </c>
      <c r="C740" s="64" t="s">
        <v>518</v>
      </c>
      <c r="D740" s="12" t="s">
        <v>411</v>
      </c>
      <c r="E740" s="65">
        <v>44253</v>
      </c>
      <c r="F740" s="66">
        <v>44256</v>
      </c>
      <c r="G740" s="66">
        <v>44259</v>
      </c>
      <c r="H740" s="70">
        <v>0.02</v>
      </c>
      <c r="I740" s="113">
        <v>0.1347</v>
      </c>
      <c r="J740" s="113">
        <v>0</v>
      </c>
      <c r="K740" s="113">
        <v>0.1347</v>
      </c>
      <c r="L740" s="60">
        <f>+K740-((K740*0.505*0.125)+(K740*(1-0.505)*0.26))</f>
        <v>0.10886117249999999</v>
      </c>
      <c r="M740" s="60">
        <f t="shared" si="27"/>
        <v>0.10886117249999999</v>
      </c>
      <c r="N740" s="67" t="s">
        <v>251</v>
      </c>
    </row>
    <row r="741" spans="1:14" s="30" customFormat="1" ht="23.25" customHeight="1">
      <c r="A741" s="94"/>
      <c r="B741" s="12" t="s">
        <v>517</v>
      </c>
      <c r="C741" s="64" t="s">
        <v>519</v>
      </c>
      <c r="D741" s="12" t="s">
        <v>411</v>
      </c>
      <c r="E741" s="65">
        <v>44253</v>
      </c>
      <c r="F741" s="66">
        <v>44256</v>
      </c>
      <c r="G741" s="66">
        <v>44259</v>
      </c>
      <c r="H741" s="70">
        <v>0.02</v>
      </c>
      <c r="I741" s="113">
        <v>0.1356</v>
      </c>
      <c r="J741" s="113">
        <v>0</v>
      </c>
      <c r="K741" s="113">
        <v>0.1356</v>
      </c>
      <c r="L741" s="60">
        <f>+K741-((K741*0.505*0.125)+(K741*(1-0.505)*0.26))</f>
        <v>0.10958852999999999</v>
      </c>
      <c r="M741" s="60">
        <f t="shared" si="27"/>
        <v>0.10958852999999999</v>
      </c>
      <c r="N741" s="67" t="s">
        <v>251</v>
      </c>
    </row>
    <row r="742" spans="1:14" s="30" customFormat="1" ht="23.25" customHeight="1">
      <c r="A742" s="94"/>
      <c r="B742" s="12" t="s">
        <v>313</v>
      </c>
      <c r="C742" s="64" t="s">
        <v>429</v>
      </c>
      <c r="D742" s="12" t="s">
        <v>411</v>
      </c>
      <c r="E742" s="65">
        <v>44253</v>
      </c>
      <c r="F742" s="66">
        <v>44256</v>
      </c>
      <c r="G742" s="66">
        <v>44259</v>
      </c>
      <c r="H742" s="70">
        <v>0.01</v>
      </c>
      <c r="I742" s="113">
        <v>0.0043</v>
      </c>
      <c r="J742" s="113">
        <v>0</v>
      </c>
      <c r="K742" s="113">
        <v>0.0043</v>
      </c>
      <c r="L742" s="60">
        <f>+K742-((K742*0.135*0.125)+(K742*(1-0.135)*0.26))</f>
        <v>0.0032603675</v>
      </c>
      <c r="M742" s="60">
        <f t="shared" si="27"/>
        <v>0.0032603675</v>
      </c>
      <c r="N742" s="67" t="s">
        <v>251</v>
      </c>
    </row>
    <row r="743" spans="1:199" s="30" customFormat="1" ht="23.25" customHeight="1">
      <c r="A743" s="94"/>
      <c r="B743" s="12" t="s">
        <v>174</v>
      </c>
      <c r="C743" s="74" t="s">
        <v>382</v>
      </c>
      <c r="D743" s="73" t="s">
        <v>410</v>
      </c>
      <c r="E743" s="65">
        <v>44285</v>
      </c>
      <c r="F743" s="66">
        <v>44286</v>
      </c>
      <c r="G743" s="66">
        <v>44292</v>
      </c>
      <c r="H743" s="70"/>
      <c r="I743" s="60">
        <v>0.028206</v>
      </c>
      <c r="J743" s="113">
        <v>0</v>
      </c>
      <c r="K743" s="113">
        <v>0.02820609</v>
      </c>
      <c r="L743" s="60">
        <f>+K743-((K743*0.009*0.125)+(K743*(1-0.009)*0.26))</f>
        <v>0.02090677699935</v>
      </c>
      <c r="M743" s="60">
        <f t="shared" si="27"/>
        <v>0.02090677699935</v>
      </c>
      <c r="N743" s="67" t="s">
        <v>247</v>
      </c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  <c r="DH743" s="29"/>
      <c r="DI743" s="29"/>
      <c r="DJ743" s="29"/>
      <c r="DK743" s="29"/>
      <c r="DL743" s="29"/>
      <c r="DM743" s="29"/>
      <c r="DN743" s="29"/>
      <c r="DO743" s="29"/>
      <c r="DP743" s="29"/>
      <c r="DQ743" s="29"/>
      <c r="DR743" s="29"/>
      <c r="DS743" s="29"/>
      <c r="DT743" s="29"/>
      <c r="DU743" s="29"/>
      <c r="DV743" s="29"/>
      <c r="DW743" s="29"/>
      <c r="DX743" s="29"/>
      <c r="DY743" s="29"/>
      <c r="DZ743" s="29"/>
      <c r="EA743" s="29"/>
      <c r="EB743" s="29"/>
      <c r="EC743" s="29"/>
      <c r="ED743" s="29"/>
      <c r="EE743" s="29"/>
      <c r="EF743" s="29"/>
      <c r="EG743" s="29"/>
      <c r="EH743" s="29"/>
      <c r="EI743" s="29"/>
      <c r="EJ743" s="29"/>
      <c r="EK743" s="29"/>
      <c r="EL743" s="29"/>
      <c r="EM743" s="29"/>
      <c r="EN743" s="29"/>
      <c r="EO743" s="29"/>
      <c r="EP743" s="29"/>
      <c r="EQ743" s="29"/>
      <c r="ER743" s="29"/>
      <c r="ES743" s="29"/>
      <c r="ET743" s="29"/>
      <c r="EU743" s="29"/>
      <c r="EV743" s="29"/>
      <c r="EW743" s="29"/>
      <c r="EX743" s="29"/>
      <c r="EY743" s="29"/>
      <c r="EZ743" s="29"/>
      <c r="FA743" s="29"/>
      <c r="FB743" s="29"/>
      <c r="FC743" s="29"/>
      <c r="FD743" s="29"/>
      <c r="FE743" s="29"/>
      <c r="FF743" s="29"/>
      <c r="FG743" s="29"/>
      <c r="FH743" s="29"/>
      <c r="FI743" s="29"/>
      <c r="FJ743" s="29"/>
      <c r="FK743" s="29"/>
      <c r="FL743" s="29"/>
      <c r="FM743" s="29"/>
      <c r="FN743" s="29"/>
      <c r="FO743" s="29"/>
      <c r="FP743" s="29"/>
      <c r="FQ743" s="29"/>
      <c r="FR743" s="29"/>
      <c r="FS743" s="29"/>
      <c r="FT743" s="29"/>
      <c r="FU743" s="29"/>
      <c r="FV743" s="29"/>
      <c r="FW743" s="29"/>
      <c r="FX743" s="29"/>
      <c r="FY743" s="29"/>
      <c r="FZ743" s="29"/>
      <c r="GA743" s="29"/>
      <c r="GB743" s="29"/>
      <c r="GC743" s="29"/>
      <c r="GD743" s="29"/>
      <c r="GE743" s="29"/>
      <c r="GF743" s="29"/>
      <c r="GG743" s="29"/>
      <c r="GH743" s="29"/>
      <c r="GI743" s="29"/>
      <c r="GJ743" s="29"/>
      <c r="GK743" s="29"/>
      <c r="GL743" s="29"/>
      <c r="GM743" s="29"/>
      <c r="GN743" s="29"/>
      <c r="GO743" s="29"/>
      <c r="GP743" s="29"/>
      <c r="GQ743" s="29"/>
    </row>
    <row r="744" spans="1:199" s="30" customFormat="1" ht="23.25" customHeight="1">
      <c r="A744" s="94"/>
      <c r="B744" s="12" t="s">
        <v>176</v>
      </c>
      <c r="C744" s="74" t="s">
        <v>397</v>
      </c>
      <c r="D744" s="73" t="s">
        <v>410</v>
      </c>
      <c r="E744" s="65">
        <v>44285</v>
      </c>
      <c r="F744" s="66">
        <v>44286</v>
      </c>
      <c r="G744" s="66">
        <v>44292</v>
      </c>
      <c r="H744" s="70"/>
      <c r="I744" s="60">
        <v>0.035415</v>
      </c>
      <c r="J744" s="113">
        <v>0</v>
      </c>
      <c r="K744" s="113">
        <v>0.03541516</v>
      </c>
      <c r="L744" s="60">
        <f>+K744-((K744*0.118*0.125)+(K744*(1-0.118)*0.26))</f>
        <v>0.026771381898800004</v>
      </c>
      <c r="M744" s="60">
        <f t="shared" si="27"/>
        <v>0.026771381898800004</v>
      </c>
      <c r="N744" s="67" t="s">
        <v>247</v>
      </c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  <c r="DH744" s="29"/>
      <c r="DI744" s="29"/>
      <c r="DJ744" s="29"/>
      <c r="DK744" s="29"/>
      <c r="DL744" s="29"/>
      <c r="DM744" s="29"/>
      <c r="DN744" s="29"/>
      <c r="DO744" s="29"/>
      <c r="DP744" s="29"/>
      <c r="DQ744" s="29"/>
      <c r="DR744" s="29"/>
      <c r="DS744" s="29"/>
      <c r="DT744" s="29"/>
      <c r="DU744" s="29"/>
      <c r="DV744" s="29"/>
      <c r="DW744" s="29"/>
      <c r="DX744" s="29"/>
      <c r="DY744" s="29"/>
      <c r="DZ744" s="29"/>
      <c r="EA744" s="29"/>
      <c r="EB744" s="29"/>
      <c r="EC744" s="29"/>
      <c r="ED744" s="29"/>
      <c r="EE744" s="29"/>
      <c r="EF744" s="29"/>
      <c r="EG744" s="29"/>
      <c r="EH744" s="29"/>
      <c r="EI744" s="29"/>
      <c r="EJ744" s="29"/>
      <c r="EK744" s="29"/>
      <c r="EL744" s="29"/>
      <c r="EM744" s="29"/>
      <c r="EN744" s="29"/>
      <c r="EO744" s="29"/>
      <c r="EP744" s="29"/>
      <c r="EQ744" s="29"/>
      <c r="ER744" s="29"/>
      <c r="ES744" s="29"/>
      <c r="ET744" s="29"/>
      <c r="EU744" s="29"/>
      <c r="EV744" s="29"/>
      <c r="EW744" s="29"/>
      <c r="EX744" s="29"/>
      <c r="EY744" s="29"/>
      <c r="EZ744" s="29"/>
      <c r="FA744" s="29"/>
      <c r="FB744" s="29"/>
      <c r="FC744" s="29"/>
      <c r="FD744" s="29"/>
      <c r="FE744" s="29"/>
      <c r="FF744" s="29"/>
      <c r="FG744" s="29"/>
      <c r="FH744" s="29"/>
      <c r="FI744" s="29"/>
      <c r="FJ744" s="29"/>
      <c r="FK744" s="29"/>
      <c r="FL744" s="29"/>
      <c r="FM744" s="29"/>
      <c r="FN744" s="29"/>
      <c r="FO744" s="29"/>
      <c r="FP744" s="29"/>
      <c r="FQ744" s="29"/>
      <c r="FR744" s="29"/>
      <c r="FS744" s="29"/>
      <c r="FT744" s="29"/>
      <c r="FU744" s="29"/>
      <c r="FV744" s="29"/>
      <c r="FW744" s="29"/>
      <c r="FX744" s="29"/>
      <c r="FY744" s="29"/>
      <c r="FZ744" s="29"/>
      <c r="GA744" s="29"/>
      <c r="GB744" s="29"/>
      <c r="GC744" s="29"/>
      <c r="GD744" s="29"/>
      <c r="GE744" s="29"/>
      <c r="GF744" s="29"/>
      <c r="GG744" s="29"/>
      <c r="GH744" s="29"/>
      <c r="GI744" s="29"/>
      <c r="GJ744" s="29"/>
      <c r="GK744" s="29"/>
      <c r="GL744" s="29"/>
      <c r="GM744" s="29"/>
      <c r="GN744" s="29"/>
      <c r="GO744" s="29"/>
      <c r="GP744" s="168"/>
      <c r="GQ744" s="168"/>
    </row>
    <row r="745" spans="1:14" s="30" customFormat="1" ht="23.25" customHeight="1">
      <c r="A745" s="94"/>
      <c r="B745" s="12" t="s">
        <v>175</v>
      </c>
      <c r="C745" s="74" t="s">
        <v>467</v>
      </c>
      <c r="D745" s="73" t="s">
        <v>410</v>
      </c>
      <c r="E745" s="65">
        <v>44285</v>
      </c>
      <c r="F745" s="66">
        <v>44286</v>
      </c>
      <c r="G745" s="66">
        <v>44292</v>
      </c>
      <c r="H745" s="70"/>
      <c r="I745" s="60">
        <v>0.037454</v>
      </c>
      <c r="J745" s="113">
        <v>0</v>
      </c>
      <c r="K745" s="113">
        <v>0.03745399</v>
      </c>
      <c r="L745" s="60">
        <f>+K745-((K745*0.16*0.125)+(K745*(1-0.16)*0.26))</f>
        <v>0.028524958784</v>
      </c>
      <c r="M745" s="60">
        <f>J745+L745</f>
        <v>0.028524958784</v>
      </c>
      <c r="N745" s="67" t="s">
        <v>247</v>
      </c>
    </row>
    <row r="746" spans="1:14" s="30" customFormat="1" ht="23.25" customHeight="1">
      <c r="A746" s="94"/>
      <c r="B746" s="12" t="s">
        <v>298</v>
      </c>
      <c r="C746" s="64" t="s">
        <v>403</v>
      </c>
      <c r="D746" s="12" t="s">
        <v>410</v>
      </c>
      <c r="E746" s="65">
        <v>44286</v>
      </c>
      <c r="F746" s="66">
        <v>44287</v>
      </c>
      <c r="G746" s="66">
        <v>44291</v>
      </c>
      <c r="H746" s="70">
        <v>0.045</v>
      </c>
      <c r="I746" s="60">
        <v>0.0531</v>
      </c>
      <c r="J746" s="113">
        <v>0</v>
      </c>
      <c r="K746" s="113">
        <v>0.0531</v>
      </c>
      <c r="L746" s="60">
        <f>+K746-((K746*0.443*0.125)+(K746*(1-0.443)*0.26))</f>
        <v>0.0424696455</v>
      </c>
      <c r="M746" s="60">
        <v>0</v>
      </c>
      <c r="N746" s="67" t="s">
        <v>248</v>
      </c>
    </row>
    <row r="747" spans="1:14" s="30" customFormat="1" ht="23.25" customHeight="1">
      <c r="A747" s="94"/>
      <c r="B747" s="12" t="s">
        <v>181</v>
      </c>
      <c r="C747" s="69" t="s">
        <v>335</v>
      </c>
      <c r="D747" s="12" t="s">
        <v>410</v>
      </c>
      <c r="E747" s="65">
        <v>44286</v>
      </c>
      <c r="F747" s="66">
        <v>44287</v>
      </c>
      <c r="G747" s="66">
        <v>44291</v>
      </c>
      <c r="H747" s="70">
        <v>0.045</v>
      </c>
      <c r="I747" s="60">
        <v>0.9492</v>
      </c>
      <c r="J747" s="113">
        <v>0</v>
      </c>
      <c r="K747" s="113">
        <v>0.9492</v>
      </c>
      <c r="L747" s="60">
        <f>+K747-((K747*0.443*0.125)+(K747*(1-0.443)*0.26))</f>
        <v>0.759174906</v>
      </c>
      <c r="M747" s="60">
        <v>0</v>
      </c>
      <c r="N747" s="67" t="s">
        <v>248</v>
      </c>
    </row>
    <row r="748" spans="1:14" s="30" customFormat="1" ht="23.25" customHeight="1">
      <c r="A748" s="94"/>
      <c r="B748" s="12" t="s">
        <v>201</v>
      </c>
      <c r="C748" s="74" t="s">
        <v>336</v>
      </c>
      <c r="D748" s="12" t="s">
        <v>410</v>
      </c>
      <c r="E748" s="65">
        <v>44286</v>
      </c>
      <c r="F748" s="66">
        <v>44287</v>
      </c>
      <c r="G748" s="66">
        <v>44291</v>
      </c>
      <c r="H748" s="70">
        <v>0.045</v>
      </c>
      <c r="I748" s="60">
        <v>0.9584</v>
      </c>
      <c r="J748" s="113">
        <v>0</v>
      </c>
      <c r="K748" s="113">
        <v>0.9584</v>
      </c>
      <c r="L748" s="60">
        <f>+K748-((K748*0.443*0.125)+(K748*(1-0.443)*0.26))</f>
        <v>0.7665331120000001</v>
      </c>
      <c r="M748" s="60">
        <v>0</v>
      </c>
      <c r="N748" s="67" t="s">
        <v>248</v>
      </c>
    </row>
    <row r="749" spans="1:14" s="30" customFormat="1" ht="23.25" customHeight="1">
      <c r="A749" s="94"/>
      <c r="B749" s="12" t="s">
        <v>138</v>
      </c>
      <c r="C749" s="64" t="s">
        <v>337</v>
      </c>
      <c r="D749" s="12" t="s">
        <v>410</v>
      </c>
      <c r="E749" s="65">
        <v>44286</v>
      </c>
      <c r="F749" s="66">
        <v>44287</v>
      </c>
      <c r="G749" s="66">
        <v>44291</v>
      </c>
      <c r="H749" s="70">
        <v>0.05</v>
      </c>
      <c r="I749" s="60">
        <v>0.0718</v>
      </c>
      <c r="J749" s="113">
        <v>0</v>
      </c>
      <c r="K749" s="113">
        <v>0.0718</v>
      </c>
      <c r="L749" s="60">
        <f>+K749-((K749*0.272*0.125)+(K749*(1-0.272)*0.26))</f>
        <v>0.055768496</v>
      </c>
      <c r="M749" s="60">
        <v>0</v>
      </c>
      <c r="N749" s="67" t="s">
        <v>248</v>
      </c>
    </row>
    <row r="750" spans="1:14" s="30" customFormat="1" ht="23.25" customHeight="1">
      <c r="A750" s="94"/>
      <c r="B750" s="12" t="s">
        <v>160</v>
      </c>
      <c r="C750" s="69" t="s">
        <v>338</v>
      </c>
      <c r="D750" s="12" t="s">
        <v>410</v>
      </c>
      <c r="E750" s="65">
        <v>44286</v>
      </c>
      <c r="F750" s="66">
        <v>44287</v>
      </c>
      <c r="G750" s="66">
        <v>44291</v>
      </c>
      <c r="H750" s="70">
        <v>0.05</v>
      </c>
      <c r="I750" s="60">
        <v>0.0711</v>
      </c>
      <c r="J750" s="113">
        <v>0</v>
      </c>
      <c r="K750" s="113">
        <v>0.0711</v>
      </c>
      <c r="L750" s="60">
        <f>+K750-((K750*0.272*0.125)+(K750*(1-0.272)*0.26))</f>
        <v>0.055224791999999995</v>
      </c>
      <c r="M750" s="60">
        <v>0</v>
      </c>
      <c r="N750" s="67" t="s">
        <v>248</v>
      </c>
    </row>
    <row r="751" spans="1:14" s="30" customFormat="1" ht="23.25" customHeight="1">
      <c r="A751" s="94"/>
      <c r="B751" s="12" t="s">
        <v>300</v>
      </c>
      <c r="C751" s="64" t="s">
        <v>404</v>
      </c>
      <c r="D751" s="12" t="s">
        <v>410</v>
      </c>
      <c r="E751" s="65">
        <v>44286</v>
      </c>
      <c r="F751" s="66">
        <v>44287</v>
      </c>
      <c r="G751" s="66">
        <v>44291</v>
      </c>
      <c r="H751" s="70">
        <v>0.05</v>
      </c>
      <c r="I751" s="60">
        <v>0.0556</v>
      </c>
      <c r="J751" s="113">
        <v>0</v>
      </c>
      <c r="K751" s="113">
        <v>0.0556</v>
      </c>
      <c r="L751" s="60">
        <f>+K751-((K751*0.272*0.125)+(K751*(1-0.272)*0.26))</f>
        <v>0.043185632</v>
      </c>
      <c r="M751" s="60">
        <v>0</v>
      </c>
      <c r="N751" s="67" t="s">
        <v>248</v>
      </c>
    </row>
    <row r="752" spans="1:252" s="30" customFormat="1" ht="23.25" customHeight="1">
      <c r="A752" s="94"/>
      <c r="B752" s="12" t="s">
        <v>310</v>
      </c>
      <c r="C752" s="64" t="s">
        <v>424</v>
      </c>
      <c r="D752" s="12" t="s">
        <v>411</v>
      </c>
      <c r="E752" s="65">
        <v>44286</v>
      </c>
      <c r="F752" s="66">
        <v>44287</v>
      </c>
      <c r="G752" s="66">
        <v>44294</v>
      </c>
      <c r="H752" s="70">
        <v>0.05</v>
      </c>
      <c r="I752" s="60">
        <v>0.0205</v>
      </c>
      <c r="J752" s="113">
        <v>0</v>
      </c>
      <c r="K752" s="113">
        <v>0.0205</v>
      </c>
      <c r="L752" s="60">
        <f>+K752-((K752*0.036*0.125)+(K752*(1-0.036)*0.26))</f>
        <v>0.01526963</v>
      </c>
      <c r="M752" s="60">
        <f>J752+L752</f>
        <v>0.01526963</v>
      </c>
      <c r="N752" s="67" t="s">
        <v>251</v>
      </c>
      <c r="IR752" s="94"/>
    </row>
    <row r="753" spans="1:252" s="30" customFormat="1" ht="23.25" customHeight="1">
      <c r="A753" s="94"/>
      <c r="B753" s="12" t="s">
        <v>188</v>
      </c>
      <c r="C753" s="69" t="s">
        <v>339</v>
      </c>
      <c r="D753" s="12" t="s">
        <v>411</v>
      </c>
      <c r="E753" s="65">
        <v>44286</v>
      </c>
      <c r="F753" s="66">
        <v>44287</v>
      </c>
      <c r="G753" s="66">
        <v>44294</v>
      </c>
      <c r="H753" s="70">
        <v>0.05</v>
      </c>
      <c r="I753" s="60">
        <v>0.3588</v>
      </c>
      <c r="J753" s="113">
        <v>0</v>
      </c>
      <c r="K753" s="113">
        <v>0.3588</v>
      </c>
      <c r="L753" s="60">
        <f>+K753-((K753*0.036*0.125)+(K753*(1-0.036)*0.26))</f>
        <v>0.267255768</v>
      </c>
      <c r="M753" s="60">
        <f>J753+L753</f>
        <v>0.267255768</v>
      </c>
      <c r="N753" s="67" t="s">
        <v>251</v>
      </c>
      <c r="IR753" s="94"/>
    </row>
    <row r="754" spans="1:252" s="30" customFormat="1" ht="23.25" customHeight="1">
      <c r="A754" s="94"/>
      <c r="B754" s="12" t="s">
        <v>196</v>
      </c>
      <c r="C754" s="74" t="s">
        <v>340</v>
      </c>
      <c r="D754" s="73" t="s">
        <v>411</v>
      </c>
      <c r="E754" s="65">
        <v>44286</v>
      </c>
      <c r="F754" s="66">
        <v>44287</v>
      </c>
      <c r="G754" s="66">
        <v>44294</v>
      </c>
      <c r="H754" s="70">
        <v>0.05</v>
      </c>
      <c r="I754" s="60">
        <v>0.3726</v>
      </c>
      <c r="J754" s="113">
        <v>0</v>
      </c>
      <c r="K754" s="113">
        <v>0.3726</v>
      </c>
      <c r="L754" s="60">
        <f>+K754-((K754*0.036*0.125)+(K754*(1-0.036)*0.26))</f>
        <v>0.277534836</v>
      </c>
      <c r="M754" s="60">
        <f>J754+L754</f>
        <v>0.277534836</v>
      </c>
      <c r="N754" s="67" t="s">
        <v>251</v>
      </c>
      <c r="IR754" s="94"/>
    </row>
    <row r="755" spans="1:14" s="30" customFormat="1" ht="23.25" customHeight="1">
      <c r="A755" s="94"/>
      <c r="B755" s="12" t="s">
        <v>142</v>
      </c>
      <c r="C755" s="64" t="s">
        <v>341</v>
      </c>
      <c r="D755" s="12" t="s">
        <v>410</v>
      </c>
      <c r="E755" s="65">
        <v>44286</v>
      </c>
      <c r="F755" s="66">
        <v>44287</v>
      </c>
      <c r="G755" s="66">
        <v>44291</v>
      </c>
      <c r="H755" s="70">
        <v>0.0525</v>
      </c>
      <c r="I755" s="60">
        <v>0.077</v>
      </c>
      <c r="J755" s="113">
        <v>0</v>
      </c>
      <c r="K755" s="113">
        <v>0.077</v>
      </c>
      <c r="L755" s="60">
        <f>+K755-((K755*0.033*0.125)+(K755*(1-0.033)*0.26))</f>
        <v>0.057323035</v>
      </c>
      <c r="M755" s="60">
        <v>0</v>
      </c>
      <c r="N755" s="67" t="s">
        <v>248</v>
      </c>
    </row>
    <row r="756" spans="1:14" s="30" customFormat="1" ht="23.25" customHeight="1">
      <c r="A756" s="94"/>
      <c r="B756" s="12" t="s">
        <v>159</v>
      </c>
      <c r="C756" s="69" t="s">
        <v>342</v>
      </c>
      <c r="D756" s="12" t="s">
        <v>410</v>
      </c>
      <c r="E756" s="65">
        <v>44286</v>
      </c>
      <c r="F756" s="66">
        <v>44287</v>
      </c>
      <c r="G756" s="66">
        <v>44291</v>
      </c>
      <c r="H756" s="70">
        <v>0.0525</v>
      </c>
      <c r="I756" s="60">
        <v>0.0764</v>
      </c>
      <c r="J756" s="113">
        <v>0</v>
      </c>
      <c r="K756" s="113">
        <v>0.0764</v>
      </c>
      <c r="L756" s="60">
        <f>+K756-((K756*0.033*0.125)+(K756*(1-0.033)*0.26))</f>
        <v>0.056876362</v>
      </c>
      <c r="M756" s="60">
        <v>0</v>
      </c>
      <c r="N756" s="67" t="s">
        <v>248</v>
      </c>
    </row>
    <row r="757" spans="1:14" s="30" customFormat="1" ht="23.25" customHeight="1">
      <c r="A757" s="94"/>
      <c r="B757" s="12" t="s">
        <v>510</v>
      </c>
      <c r="C757" s="69" t="s">
        <v>511</v>
      </c>
      <c r="D757" s="12" t="s">
        <v>410</v>
      </c>
      <c r="E757" s="65">
        <v>44286</v>
      </c>
      <c r="F757" s="66">
        <v>44287</v>
      </c>
      <c r="G757" s="66">
        <v>44291</v>
      </c>
      <c r="H757" s="70">
        <v>0.0525</v>
      </c>
      <c r="I757" s="60">
        <v>0.0609</v>
      </c>
      <c r="J757" s="113">
        <v>0</v>
      </c>
      <c r="K757" s="113">
        <v>0.0609</v>
      </c>
      <c r="L757" s="60">
        <f>+K757-((K757*0.033*0.125)+(K757*(1-0.033)*0.26))</f>
        <v>0.045337309500000006</v>
      </c>
      <c r="M757" s="60">
        <v>0</v>
      </c>
      <c r="N757" s="73" t="s">
        <v>248</v>
      </c>
    </row>
    <row r="758" spans="1:14" s="30" customFormat="1" ht="23.25" customHeight="1">
      <c r="A758" s="94"/>
      <c r="B758" s="12" t="s">
        <v>139</v>
      </c>
      <c r="C758" s="64" t="s">
        <v>344</v>
      </c>
      <c r="D758" s="12" t="s">
        <v>410</v>
      </c>
      <c r="E758" s="65">
        <v>44286</v>
      </c>
      <c r="F758" s="66">
        <v>44287</v>
      </c>
      <c r="G758" s="66">
        <v>44291</v>
      </c>
      <c r="H758" s="67">
        <v>0.035</v>
      </c>
      <c r="I758" s="60">
        <v>0.0379</v>
      </c>
      <c r="J758" s="113">
        <v>0</v>
      </c>
      <c r="K758" s="113">
        <v>0.0379</v>
      </c>
      <c r="L758" s="60">
        <f>+K758-((K758*0.713*0.125)+(K758*(1-0.713)*0.26))</f>
        <v>0.0316940645</v>
      </c>
      <c r="M758" s="60">
        <v>0</v>
      </c>
      <c r="N758" s="67" t="s">
        <v>248</v>
      </c>
    </row>
    <row r="759" spans="1:14" s="30" customFormat="1" ht="23.25" customHeight="1">
      <c r="A759" s="94"/>
      <c r="B759" s="12" t="s">
        <v>161</v>
      </c>
      <c r="C759" s="69" t="s">
        <v>345</v>
      </c>
      <c r="D759" s="12" t="s">
        <v>410</v>
      </c>
      <c r="E759" s="65">
        <v>44286</v>
      </c>
      <c r="F759" s="66">
        <v>44287</v>
      </c>
      <c r="G759" s="66">
        <v>44291</v>
      </c>
      <c r="H759" s="67">
        <v>0.035</v>
      </c>
      <c r="I759" s="60">
        <v>0.0377</v>
      </c>
      <c r="J759" s="113">
        <v>0</v>
      </c>
      <c r="K759" s="113">
        <v>0.0377</v>
      </c>
      <c r="L759" s="60">
        <f>+K759-((K759*0.713*0.125)+(K759*(1-0.713)*0.26))</f>
        <v>0.0315268135</v>
      </c>
      <c r="M759" s="60">
        <v>0</v>
      </c>
      <c r="N759" s="67" t="s">
        <v>248</v>
      </c>
    </row>
    <row r="760" spans="1:14" s="30" customFormat="1" ht="23.25" customHeight="1">
      <c r="A760" s="94"/>
      <c r="B760" s="12" t="s">
        <v>191</v>
      </c>
      <c r="C760" s="69" t="s">
        <v>346</v>
      </c>
      <c r="D760" s="12" t="s">
        <v>411</v>
      </c>
      <c r="E760" s="65">
        <v>44286</v>
      </c>
      <c r="F760" s="66">
        <v>44287</v>
      </c>
      <c r="G760" s="66">
        <v>44294</v>
      </c>
      <c r="H760" s="67">
        <v>0.035</v>
      </c>
      <c r="I760" s="60">
        <v>0.0141</v>
      </c>
      <c r="J760" s="113">
        <v>0</v>
      </c>
      <c r="K760" s="113">
        <v>0.0141</v>
      </c>
      <c r="L760" s="60">
        <f>+K760-((K760*0.713*0.125)+(K760*(1-0.713)*0.26))</f>
        <v>0.0117911955</v>
      </c>
      <c r="M760" s="60">
        <f>J760+L760</f>
        <v>0.0117911955</v>
      </c>
      <c r="N760" s="67" t="s">
        <v>251</v>
      </c>
    </row>
    <row r="761" spans="1:14" s="30" customFormat="1" ht="23.25" customHeight="1">
      <c r="A761" s="94"/>
      <c r="B761" s="12" t="s">
        <v>199</v>
      </c>
      <c r="C761" s="74" t="s">
        <v>347</v>
      </c>
      <c r="D761" s="73" t="s">
        <v>411</v>
      </c>
      <c r="E761" s="65">
        <v>44286</v>
      </c>
      <c r="F761" s="66">
        <v>44287</v>
      </c>
      <c r="G761" s="66">
        <v>44294</v>
      </c>
      <c r="H761" s="67">
        <v>0.035</v>
      </c>
      <c r="I761" s="60">
        <v>0.014</v>
      </c>
      <c r="J761" s="113">
        <v>0</v>
      </c>
      <c r="K761" s="113">
        <v>0.014</v>
      </c>
      <c r="L761" s="60">
        <f>+K761-((K761*0.713*0.125)+(K761*(1-0.713)*0.26))</f>
        <v>0.01170757</v>
      </c>
      <c r="M761" s="60">
        <f>J761+L761</f>
        <v>0.01170757</v>
      </c>
      <c r="N761" s="67" t="s">
        <v>251</v>
      </c>
    </row>
    <row r="762" spans="1:14" s="30" customFormat="1" ht="23.25" customHeight="1">
      <c r="A762" s="94"/>
      <c r="B762" s="12" t="s">
        <v>141</v>
      </c>
      <c r="C762" s="64" t="s">
        <v>348</v>
      </c>
      <c r="D762" s="12" t="s">
        <v>410</v>
      </c>
      <c r="E762" s="65">
        <v>44286</v>
      </c>
      <c r="F762" s="66">
        <v>44287</v>
      </c>
      <c r="G762" s="66">
        <v>44291</v>
      </c>
      <c r="H762" s="70">
        <v>0.0425</v>
      </c>
      <c r="I762" s="60">
        <v>0.0504</v>
      </c>
      <c r="J762" s="113">
        <v>0</v>
      </c>
      <c r="K762" s="113">
        <v>0.0504</v>
      </c>
      <c r="L762" s="60">
        <f>+K762-((K762*0.058*0.125)+(K762*(1-0.058)*0.26))</f>
        <v>0.037690632</v>
      </c>
      <c r="M762" s="60">
        <v>0</v>
      </c>
      <c r="N762" s="67" t="s">
        <v>248</v>
      </c>
    </row>
    <row r="763" spans="1:14" s="30" customFormat="1" ht="23.25" customHeight="1">
      <c r="A763" s="94"/>
      <c r="B763" s="12" t="s">
        <v>140</v>
      </c>
      <c r="C763" s="64" t="s">
        <v>349</v>
      </c>
      <c r="D763" s="12" t="s">
        <v>410</v>
      </c>
      <c r="E763" s="65">
        <v>44286</v>
      </c>
      <c r="F763" s="66">
        <v>44287</v>
      </c>
      <c r="G763" s="66">
        <v>44291</v>
      </c>
      <c r="H763" s="70">
        <v>0.0425</v>
      </c>
      <c r="I763" s="60">
        <v>0.0516</v>
      </c>
      <c r="J763" s="113">
        <v>0</v>
      </c>
      <c r="K763" s="113">
        <v>0.0516</v>
      </c>
      <c r="L763" s="60">
        <f>+K763-((K763*0.058*0.125)+(K763*(1-0.058)*0.26))</f>
        <v>0.038588027999999996</v>
      </c>
      <c r="M763" s="60">
        <v>0</v>
      </c>
      <c r="N763" s="67" t="s">
        <v>248</v>
      </c>
    </row>
    <row r="764" spans="1:14" s="30" customFormat="1" ht="23.25" customHeight="1">
      <c r="A764" s="94"/>
      <c r="B764" s="12" t="s">
        <v>162</v>
      </c>
      <c r="C764" s="69" t="s">
        <v>350</v>
      </c>
      <c r="D764" s="12" t="s">
        <v>410</v>
      </c>
      <c r="E764" s="65">
        <v>44286</v>
      </c>
      <c r="F764" s="66">
        <v>44287</v>
      </c>
      <c r="G764" s="66">
        <v>44291</v>
      </c>
      <c r="H764" s="70">
        <v>0.0425</v>
      </c>
      <c r="I764" s="60">
        <v>0.0512</v>
      </c>
      <c r="J764" s="113">
        <v>0</v>
      </c>
      <c r="K764" s="113">
        <v>0.0512</v>
      </c>
      <c r="L764" s="60">
        <f>+K764-((K764*0.058*0.125)+(K764*(1-0.058)*0.26))</f>
        <v>0.038288896</v>
      </c>
      <c r="M764" s="60">
        <v>0</v>
      </c>
      <c r="N764" s="67" t="s">
        <v>248</v>
      </c>
    </row>
    <row r="765" spans="1:14" s="30" customFormat="1" ht="23.25" customHeight="1">
      <c r="A765" s="94"/>
      <c r="B765" s="12" t="s">
        <v>302</v>
      </c>
      <c r="C765" s="64" t="s">
        <v>405</v>
      </c>
      <c r="D765" s="12" t="s">
        <v>410</v>
      </c>
      <c r="E765" s="65">
        <v>44286</v>
      </c>
      <c r="F765" s="66">
        <v>44287</v>
      </c>
      <c r="G765" s="66">
        <v>44291</v>
      </c>
      <c r="H765" s="70">
        <v>0.0425</v>
      </c>
      <c r="I765" s="60">
        <v>0.0524</v>
      </c>
      <c r="J765" s="113">
        <v>0</v>
      </c>
      <c r="K765" s="113">
        <v>0.0524</v>
      </c>
      <c r="L765" s="60">
        <f>+K765-((K765*0.058*0.125)+(K765*(1-0.058)*0.26))</f>
        <v>0.039186292000000005</v>
      </c>
      <c r="M765" s="60">
        <v>0</v>
      </c>
      <c r="N765" s="67" t="s">
        <v>248</v>
      </c>
    </row>
    <row r="766" spans="1:14" s="30" customFormat="1" ht="23.25" customHeight="1">
      <c r="A766" s="94"/>
      <c r="B766" s="12" t="s">
        <v>303</v>
      </c>
      <c r="C766" s="64" t="s">
        <v>406</v>
      </c>
      <c r="D766" s="12" t="s">
        <v>410</v>
      </c>
      <c r="E766" s="65">
        <v>44286</v>
      </c>
      <c r="F766" s="66">
        <v>44287</v>
      </c>
      <c r="G766" s="66">
        <v>44291</v>
      </c>
      <c r="H766" s="70">
        <v>0.0425</v>
      </c>
      <c r="I766" s="60">
        <v>0.0484</v>
      </c>
      <c r="J766" s="113">
        <v>0</v>
      </c>
      <c r="K766" s="113">
        <v>0.0484</v>
      </c>
      <c r="L766" s="60">
        <f>+K766-((K766*0.058*0.125)+(K766*(1-0.058)*0.26))</f>
        <v>0.036194972</v>
      </c>
      <c r="M766" s="60">
        <v>0</v>
      </c>
      <c r="N766" s="67" t="s">
        <v>248</v>
      </c>
    </row>
    <row r="767" spans="1:14" s="30" customFormat="1" ht="23.25" customHeight="1">
      <c r="A767" s="94"/>
      <c r="B767" s="12" t="s">
        <v>143</v>
      </c>
      <c r="C767" s="64" t="s">
        <v>351</v>
      </c>
      <c r="D767" s="12" t="s">
        <v>410</v>
      </c>
      <c r="E767" s="65">
        <v>44286</v>
      </c>
      <c r="F767" s="66">
        <v>44287</v>
      </c>
      <c r="G767" s="66">
        <v>44291</v>
      </c>
      <c r="H767" s="70">
        <v>0.004</v>
      </c>
      <c r="I767" s="60">
        <v>0.0052</v>
      </c>
      <c r="J767" s="113">
        <v>0</v>
      </c>
      <c r="K767" s="113">
        <v>0.0052</v>
      </c>
      <c r="L767" s="60">
        <f>+K767-((K767*0.511*0.125)+(K767*(1-0.511)*0.26))</f>
        <v>0.0042067219999999995</v>
      </c>
      <c r="M767" s="60">
        <v>0</v>
      </c>
      <c r="N767" s="67" t="s">
        <v>248</v>
      </c>
    </row>
    <row r="768" spans="1:14" s="30" customFormat="1" ht="23.25" customHeight="1">
      <c r="A768" s="94"/>
      <c r="B768" s="12" t="s">
        <v>145</v>
      </c>
      <c r="C768" s="64" t="s">
        <v>352</v>
      </c>
      <c r="D768" s="12" t="s">
        <v>410</v>
      </c>
      <c r="E768" s="65">
        <v>44286</v>
      </c>
      <c r="F768" s="66">
        <v>44287</v>
      </c>
      <c r="G768" s="66">
        <v>44291</v>
      </c>
      <c r="H768" s="70">
        <v>0.0045</v>
      </c>
      <c r="I768" s="60">
        <v>0.0058</v>
      </c>
      <c r="J768" s="113">
        <v>0</v>
      </c>
      <c r="K768" s="113">
        <v>0.0058</v>
      </c>
      <c r="L768" s="60">
        <f>+K768-((K768*0.002*0.125)+(K768*(1-0.002)*0.26))</f>
        <v>0.0042935659999999995</v>
      </c>
      <c r="M768" s="60">
        <v>0</v>
      </c>
      <c r="N768" s="67" t="s">
        <v>248</v>
      </c>
    </row>
    <row r="769" spans="1:14" s="30" customFormat="1" ht="23.25" customHeight="1">
      <c r="A769" s="94"/>
      <c r="B769" s="12" t="s">
        <v>144</v>
      </c>
      <c r="C769" s="64" t="s">
        <v>353</v>
      </c>
      <c r="D769" s="12" t="s">
        <v>410</v>
      </c>
      <c r="E769" s="65">
        <v>44286</v>
      </c>
      <c r="F769" s="66">
        <v>44287</v>
      </c>
      <c r="G769" s="66">
        <v>44291</v>
      </c>
      <c r="H769" s="70">
        <v>0.002</v>
      </c>
      <c r="I769" s="60">
        <v>0.0026</v>
      </c>
      <c r="J769" s="113">
        <v>0</v>
      </c>
      <c r="K769" s="113">
        <v>0.0026</v>
      </c>
      <c r="L769" s="60">
        <f>+K769-((K769*0.885*0.125)+(K769*(1-0.885)*0.26))</f>
        <v>0.002234635</v>
      </c>
      <c r="M769" s="60">
        <v>0</v>
      </c>
      <c r="N769" s="67" t="s">
        <v>248</v>
      </c>
    </row>
    <row r="770" spans="1:14" s="30" customFormat="1" ht="23.25" customHeight="1">
      <c r="A770" s="94"/>
      <c r="B770" s="12" t="s">
        <v>306</v>
      </c>
      <c r="C770" s="64" t="s">
        <v>430</v>
      </c>
      <c r="D770" s="12" t="s">
        <v>411</v>
      </c>
      <c r="E770" s="65">
        <v>44286</v>
      </c>
      <c r="F770" s="66">
        <v>44287</v>
      </c>
      <c r="G770" s="66">
        <v>44294</v>
      </c>
      <c r="H770" s="70">
        <v>0.025</v>
      </c>
      <c r="I770" s="60">
        <v>0.0103</v>
      </c>
      <c r="J770" s="113">
        <v>0</v>
      </c>
      <c r="K770" s="113">
        <v>0.0103</v>
      </c>
      <c r="L770" s="60">
        <f>+K770-((K770*0.0002*0.125)+(K770*(1-0.0002)*0.26))</f>
        <v>0.007622278099999999</v>
      </c>
      <c r="M770" s="60">
        <f aca="true" t="shared" si="28" ref="M770:M775">J770+L770</f>
        <v>0.007622278099999999</v>
      </c>
      <c r="N770" s="67" t="s">
        <v>251</v>
      </c>
    </row>
    <row r="771" spans="1:14" s="30" customFormat="1" ht="23.25" customHeight="1">
      <c r="A771" s="94"/>
      <c r="B771" s="12" t="s">
        <v>184</v>
      </c>
      <c r="C771" s="69" t="s">
        <v>354</v>
      </c>
      <c r="D771" s="12" t="s">
        <v>411</v>
      </c>
      <c r="E771" s="65">
        <v>44286</v>
      </c>
      <c r="F771" s="66">
        <v>44287</v>
      </c>
      <c r="G771" s="66">
        <v>44294</v>
      </c>
      <c r="H771" s="70">
        <v>0.025</v>
      </c>
      <c r="I771" s="60">
        <v>0.2075</v>
      </c>
      <c r="J771" s="113">
        <v>0</v>
      </c>
      <c r="K771" s="113">
        <v>0.2075</v>
      </c>
      <c r="L771" s="60">
        <f>+K771-((K771*0.0002*0.125)+(K771*(1-0.0002)*0.26))</f>
        <v>0.1535556025</v>
      </c>
      <c r="M771" s="60">
        <f t="shared" si="28"/>
        <v>0.1535556025</v>
      </c>
      <c r="N771" s="67" t="s">
        <v>251</v>
      </c>
    </row>
    <row r="772" spans="1:14" s="30" customFormat="1" ht="23.25" customHeight="1">
      <c r="A772" s="94"/>
      <c r="B772" s="12" t="s">
        <v>192</v>
      </c>
      <c r="C772" s="74" t="s">
        <v>355</v>
      </c>
      <c r="D772" s="73" t="s">
        <v>411</v>
      </c>
      <c r="E772" s="65">
        <v>44286</v>
      </c>
      <c r="F772" s="66">
        <v>44287</v>
      </c>
      <c r="G772" s="66">
        <v>44294</v>
      </c>
      <c r="H772" s="70">
        <v>0.025</v>
      </c>
      <c r="I772" s="60">
        <v>0.2096</v>
      </c>
      <c r="J772" s="113">
        <v>0</v>
      </c>
      <c r="K772" s="113">
        <v>0.2096</v>
      </c>
      <c r="L772" s="60">
        <f>+K772-((K772*0.0002*0.125)+(K772*(1-0.0002)*0.26))</f>
        <v>0.1551096592</v>
      </c>
      <c r="M772" s="60">
        <f t="shared" si="28"/>
        <v>0.1551096592</v>
      </c>
      <c r="N772" s="67" t="s">
        <v>251</v>
      </c>
    </row>
    <row r="773" spans="1:14" s="30" customFormat="1" ht="23.25" customHeight="1">
      <c r="A773" s="94"/>
      <c r="B773" s="12" t="s">
        <v>311</v>
      </c>
      <c r="C773" s="64" t="s">
        <v>425</v>
      </c>
      <c r="D773" s="12" t="s">
        <v>411</v>
      </c>
      <c r="E773" s="65">
        <v>44286</v>
      </c>
      <c r="F773" s="66">
        <v>44287</v>
      </c>
      <c r="G773" s="66">
        <v>44294</v>
      </c>
      <c r="H773" s="70">
        <v>0.015</v>
      </c>
      <c r="I773" s="60">
        <v>0.0061</v>
      </c>
      <c r="J773" s="113">
        <v>0</v>
      </c>
      <c r="K773" s="113">
        <v>0.0061</v>
      </c>
      <c r="L773" s="60">
        <f>+K773-((K773*0.0000001*0.125)+(K773*(1-0.0000001)*0.26))</f>
        <v>0.00451400008235</v>
      </c>
      <c r="M773" s="60">
        <f t="shared" si="28"/>
        <v>0.00451400008235</v>
      </c>
      <c r="N773" s="67" t="s">
        <v>251</v>
      </c>
    </row>
    <row r="774" spans="1:14" s="30" customFormat="1" ht="23.25" customHeight="1">
      <c r="A774" s="94"/>
      <c r="B774" s="12" t="s">
        <v>189</v>
      </c>
      <c r="C774" s="69" t="s">
        <v>356</v>
      </c>
      <c r="D774" s="12" t="s">
        <v>411</v>
      </c>
      <c r="E774" s="65">
        <v>44286</v>
      </c>
      <c r="F774" s="66">
        <v>44287</v>
      </c>
      <c r="G774" s="66">
        <v>44294</v>
      </c>
      <c r="H774" s="70">
        <v>0.015</v>
      </c>
      <c r="I774" s="60">
        <v>0.1124</v>
      </c>
      <c r="J774" s="113">
        <v>0</v>
      </c>
      <c r="K774" s="113">
        <v>0.1124</v>
      </c>
      <c r="L774" s="60">
        <f>+K774-((K774*0.0000001*0.125)+(K774*(1-0.0000001)*0.26))</f>
        <v>0.0831760015174</v>
      </c>
      <c r="M774" s="60">
        <f t="shared" si="28"/>
        <v>0.0831760015174</v>
      </c>
      <c r="N774" s="67" t="s">
        <v>251</v>
      </c>
    </row>
    <row r="775" spans="1:14" s="30" customFormat="1" ht="23.25" customHeight="1">
      <c r="A775" s="94"/>
      <c r="B775" s="12" t="s">
        <v>197</v>
      </c>
      <c r="C775" s="74" t="s">
        <v>357</v>
      </c>
      <c r="D775" s="73" t="s">
        <v>411</v>
      </c>
      <c r="E775" s="65">
        <v>44286</v>
      </c>
      <c r="F775" s="66">
        <v>44287</v>
      </c>
      <c r="G775" s="66">
        <v>44294</v>
      </c>
      <c r="H775" s="70">
        <v>0.015</v>
      </c>
      <c r="I775" s="60">
        <v>0.1145</v>
      </c>
      <c r="J775" s="113">
        <v>0</v>
      </c>
      <c r="K775" s="113">
        <v>0.1145</v>
      </c>
      <c r="L775" s="60">
        <f>+K775-((K775*0.0000001*0.125)+(K775*(1-0.0000001)*0.26))</f>
        <v>0.08473000154575</v>
      </c>
      <c r="M775" s="60">
        <f t="shared" si="28"/>
        <v>0.08473000154575</v>
      </c>
      <c r="N775" s="67" t="s">
        <v>251</v>
      </c>
    </row>
    <row r="776" spans="1:14" s="30" customFormat="1" ht="23.25" customHeight="1">
      <c r="A776" s="94"/>
      <c r="B776" s="12" t="s">
        <v>148</v>
      </c>
      <c r="C776" s="64" t="s">
        <v>362</v>
      </c>
      <c r="D776" s="12" t="s">
        <v>410</v>
      </c>
      <c r="E776" s="65">
        <v>44286</v>
      </c>
      <c r="F776" s="66">
        <v>44287</v>
      </c>
      <c r="G776" s="66">
        <v>44291</v>
      </c>
      <c r="H776" s="70">
        <v>0.015</v>
      </c>
      <c r="I776" s="60">
        <v>0.0187</v>
      </c>
      <c r="J776" s="113">
        <v>0</v>
      </c>
      <c r="K776" s="113">
        <v>0.0187</v>
      </c>
      <c r="L776" s="60">
        <f>+K776-((K776*0.458*0.125)+(K776*(1-0.458)*0.26))</f>
        <v>0.014994221000000002</v>
      </c>
      <c r="M776" s="60">
        <v>0</v>
      </c>
      <c r="N776" s="67" t="s">
        <v>248</v>
      </c>
    </row>
    <row r="777" spans="1:14" s="30" customFormat="1" ht="23.25" customHeight="1">
      <c r="A777" s="94"/>
      <c r="B777" s="12" t="s">
        <v>308</v>
      </c>
      <c r="C777" s="64" t="s">
        <v>426</v>
      </c>
      <c r="D777" s="12" t="s">
        <v>411</v>
      </c>
      <c r="E777" s="65">
        <v>44286</v>
      </c>
      <c r="F777" s="66">
        <v>44287</v>
      </c>
      <c r="G777" s="66">
        <v>44294</v>
      </c>
      <c r="H777" s="70">
        <v>0.015</v>
      </c>
      <c r="I777" s="60">
        <v>0.0062</v>
      </c>
      <c r="J777" s="113">
        <v>0</v>
      </c>
      <c r="K777" s="113">
        <v>0.0062</v>
      </c>
      <c r="L777" s="60">
        <f>+K777-((K777*0.458*0.125)+(K777*(1-0.458)*0.26))</f>
        <v>0.004971346</v>
      </c>
      <c r="M777" s="60">
        <f>J777+L777</f>
        <v>0.004971346</v>
      </c>
      <c r="N777" s="67" t="s">
        <v>251</v>
      </c>
    </row>
    <row r="778" spans="1:14" s="30" customFormat="1" ht="23.25" customHeight="1">
      <c r="A778" s="94"/>
      <c r="B778" s="12" t="s">
        <v>186</v>
      </c>
      <c r="C778" s="69" t="s">
        <v>363</v>
      </c>
      <c r="D778" s="12" t="s">
        <v>411</v>
      </c>
      <c r="E778" s="65">
        <v>44286</v>
      </c>
      <c r="F778" s="66">
        <v>44287</v>
      </c>
      <c r="G778" s="66">
        <v>44294</v>
      </c>
      <c r="H778" s="70">
        <v>0.015</v>
      </c>
      <c r="I778" s="60">
        <v>0.1137</v>
      </c>
      <c r="J778" s="113">
        <v>0</v>
      </c>
      <c r="K778" s="113">
        <v>0.1137</v>
      </c>
      <c r="L778" s="60">
        <f>+K778-((K778*0.458*0.125)+(K778*(1-0.458)*0.26))</f>
        <v>0.09116807099999999</v>
      </c>
      <c r="M778" s="60">
        <f>J778+L778</f>
        <v>0.09116807099999999</v>
      </c>
      <c r="N778" s="67" t="s">
        <v>251</v>
      </c>
    </row>
    <row r="779" spans="1:14" s="30" customFormat="1" ht="23.25" customHeight="1">
      <c r="A779" s="94"/>
      <c r="B779" s="12" t="s">
        <v>194</v>
      </c>
      <c r="C779" s="74" t="s">
        <v>364</v>
      </c>
      <c r="D779" s="73" t="s">
        <v>411</v>
      </c>
      <c r="E779" s="65">
        <v>44286</v>
      </c>
      <c r="F779" s="66">
        <v>44287</v>
      </c>
      <c r="G779" s="66">
        <v>44294</v>
      </c>
      <c r="H779" s="70">
        <v>0.015</v>
      </c>
      <c r="I779" s="60">
        <v>0.1172</v>
      </c>
      <c r="J779" s="113">
        <v>0</v>
      </c>
      <c r="K779" s="113">
        <v>0.1172</v>
      </c>
      <c r="L779" s="60">
        <f>+K779-((K779*0.458*0.125)+(K779*(1-0.458)*0.26))</f>
        <v>0.093974476</v>
      </c>
      <c r="M779" s="60">
        <f>J779+L779</f>
        <v>0.093974476</v>
      </c>
      <c r="N779" s="67" t="s">
        <v>251</v>
      </c>
    </row>
    <row r="780" spans="1:14" s="30" customFormat="1" ht="23.25" customHeight="1">
      <c r="A780" s="94"/>
      <c r="B780" s="12" t="s">
        <v>200</v>
      </c>
      <c r="C780" s="74" t="s">
        <v>365</v>
      </c>
      <c r="D780" s="12" t="s">
        <v>410</v>
      </c>
      <c r="E780" s="65">
        <v>44286</v>
      </c>
      <c r="F780" s="66">
        <v>44287</v>
      </c>
      <c r="G780" s="66">
        <v>44291</v>
      </c>
      <c r="H780" s="70">
        <v>0.015</v>
      </c>
      <c r="I780" s="60">
        <v>0.3704</v>
      </c>
      <c r="J780" s="113">
        <v>0</v>
      </c>
      <c r="K780" s="113">
        <v>0.3704</v>
      </c>
      <c r="L780" s="60">
        <f>+K780-((K780*0.458*0.125)+(K780*(1-0.458)*0.26))</f>
        <v>0.296997832</v>
      </c>
      <c r="M780" s="60">
        <v>0</v>
      </c>
      <c r="N780" s="67" t="s">
        <v>248</v>
      </c>
    </row>
    <row r="781" spans="1:14" s="30" customFormat="1" ht="23.25" customHeight="1">
      <c r="A781" s="94"/>
      <c r="B781" s="12" t="s">
        <v>307</v>
      </c>
      <c r="C781" s="64" t="s">
        <v>420</v>
      </c>
      <c r="D781" s="12" t="s">
        <v>411</v>
      </c>
      <c r="E781" s="65">
        <v>44286</v>
      </c>
      <c r="F781" s="66">
        <v>44287</v>
      </c>
      <c r="G781" s="66">
        <v>44294</v>
      </c>
      <c r="H781" s="70">
        <v>0.015</v>
      </c>
      <c r="I781" s="60">
        <v>0.0064</v>
      </c>
      <c r="J781" s="113">
        <v>0</v>
      </c>
      <c r="K781" s="113">
        <v>0.0064</v>
      </c>
      <c r="L781" s="60">
        <f>+K781-((K781*0.603*0.125)+(K781*(1-0.603)*0.26))</f>
        <v>0.005256992</v>
      </c>
      <c r="M781" s="60">
        <f aca="true" t="shared" si="29" ref="M781:M791">J781+L781</f>
        <v>0.005256992</v>
      </c>
      <c r="N781" s="67" t="s">
        <v>251</v>
      </c>
    </row>
    <row r="782" spans="1:14" s="30" customFormat="1" ht="23.25" customHeight="1">
      <c r="A782" s="94"/>
      <c r="B782" s="12" t="s">
        <v>185</v>
      </c>
      <c r="C782" s="69" t="s">
        <v>366</v>
      </c>
      <c r="D782" s="12" t="s">
        <v>411</v>
      </c>
      <c r="E782" s="65">
        <v>44286</v>
      </c>
      <c r="F782" s="66">
        <v>44287</v>
      </c>
      <c r="G782" s="66">
        <v>44294</v>
      </c>
      <c r="H782" s="70">
        <v>0.015</v>
      </c>
      <c r="I782" s="60">
        <v>0.1067</v>
      </c>
      <c r="J782" s="113">
        <v>0</v>
      </c>
      <c r="K782" s="113">
        <v>0.1067</v>
      </c>
      <c r="L782" s="60">
        <f>+K782-((K782*0.603*0.125)+(K782*(1-0.603)*0.26))</f>
        <v>0.0876439135</v>
      </c>
      <c r="M782" s="60">
        <f t="shared" si="29"/>
        <v>0.0876439135</v>
      </c>
      <c r="N782" s="67" t="s">
        <v>251</v>
      </c>
    </row>
    <row r="783" spans="1:14" s="30" customFormat="1" ht="23.25" customHeight="1">
      <c r="A783" s="94"/>
      <c r="B783" s="12" t="s">
        <v>193</v>
      </c>
      <c r="C783" s="74" t="s">
        <v>367</v>
      </c>
      <c r="D783" s="73" t="s">
        <v>411</v>
      </c>
      <c r="E783" s="65">
        <v>44286</v>
      </c>
      <c r="F783" s="66">
        <v>44287</v>
      </c>
      <c r="G783" s="66">
        <v>44294</v>
      </c>
      <c r="H783" s="70">
        <v>0.015</v>
      </c>
      <c r="I783" s="60">
        <v>0.1042</v>
      </c>
      <c r="J783" s="113">
        <v>0</v>
      </c>
      <c r="K783" s="113">
        <v>0.1042</v>
      </c>
      <c r="L783" s="60">
        <f>+K783-((K783*0.603*0.125)+(K783*(1-0.603)*0.26))</f>
        <v>0.085590401</v>
      </c>
      <c r="M783" s="60">
        <f t="shared" si="29"/>
        <v>0.085590401</v>
      </c>
      <c r="N783" s="67" t="s">
        <v>251</v>
      </c>
    </row>
    <row r="784" spans="1:14" s="30" customFormat="1" ht="23.25" customHeight="1">
      <c r="A784" s="94"/>
      <c r="B784" s="12" t="s">
        <v>309</v>
      </c>
      <c r="C784" s="64" t="s">
        <v>427</v>
      </c>
      <c r="D784" s="12" t="s">
        <v>411</v>
      </c>
      <c r="E784" s="65">
        <v>44286</v>
      </c>
      <c r="F784" s="66">
        <v>44287</v>
      </c>
      <c r="G784" s="66">
        <v>44294</v>
      </c>
      <c r="H784" s="70">
        <v>0.015</v>
      </c>
      <c r="I784" s="60">
        <v>0.0064</v>
      </c>
      <c r="J784" s="113">
        <v>0</v>
      </c>
      <c r="K784" s="113">
        <v>0.0064</v>
      </c>
      <c r="L784" s="60">
        <f>+K784-((K784*0.001*0.125)+(K784*(1-0.001)*0.26))</f>
        <v>0.004736864</v>
      </c>
      <c r="M784" s="60">
        <f t="shared" si="29"/>
        <v>0.004736864</v>
      </c>
      <c r="N784" s="67" t="s">
        <v>251</v>
      </c>
    </row>
    <row r="785" spans="1:14" s="30" customFormat="1" ht="23.25" customHeight="1">
      <c r="A785" s="94"/>
      <c r="B785" s="12" t="s">
        <v>187</v>
      </c>
      <c r="C785" s="69" t="s">
        <v>368</v>
      </c>
      <c r="D785" s="12" t="s">
        <v>411</v>
      </c>
      <c r="E785" s="65">
        <v>44286</v>
      </c>
      <c r="F785" s="66">
        <v>44287</v>
      </c>
      <c r="G785" s="66">
        <v>44294</v>
      </c>
      <c r="H785" s="70">
        <v>0.015</v>
      </c>
      <c r="I785" s="60">
        <v>0.1123</v>
      </c>
      <c r="J785" s="113">
        <v>0</v>
      </c>
      <c r="K785" s="113">
        <v>0.1123</v>
      </c>
      <c r="L785" s="60">
        <f>+K785-((K785*0.001*0.125)+(K785*(1-0.001)*0.26))</f>
        <v>0.0831171605</v>
      </c>
      <c r="M785" s="60">
        <f t="shared" si="29"/>
        <v>0.0831171605</v>
      </c>
      <c r="N785" s="67" t="s">
        <v>251</v>
      </c>
    </row>
    <row r="786" spans="1:14" s="30" customFormat="1" ht="23.25" customHeight="1">
      <c r="A786" s="94"/>
      <c r="B786" s="12" t="s">
        <v>195</v>
      </c>
      <c r="C786" s="74" t="s">
        <v>369</v>
      </c>
      <c r="D786" s="73" t="s">
        <v>411</v>
      </c>
      <c r="E786" s="65">
        <v>44286</v>
      </c>
      <c r="F786" s="66">
        <v>44287</v>
      </c>
      <c r="G786" s="66">
        <v>44294</v>
      </c>
      <c r="H786" s="70">
        <v>0.015</v>
      </c>
      <c r="I786" s="60">
        <v>0.1161</v>
      </c>
      <c r="J786" s="113">
        <v>0</v>
      </c>
      <c r="K786" s="113">
        <v>0.1161</v>
      </c>
      <c r="L786" s="60">
        <f>+K786-((K786*0.001*0.125)+(K786*(1-0.001)*0.26))</f>
        <v>0.0859296735</v>
      </c>
      <c r="M786" s="60">
        <f t="shared" si="29"/>
        <v>0.0859296735</v>
      </c>
      <c r="N786" s="67" t="s">
        <v>251</v>
      </c>
    </row>
    <row r="787" spans="1:252" s="30" customFormat="1" ht="23.25" customHeight="1">
      <c r="A787" s="10"/>
      <c r="B787" s="1" t="s">
        <v>312</v>
      </c>
      <c r="C787" s="79" t="s">
        <v>428</v>
      </c>
      <c r="D787" s="1" t="s">
        <v>411</v>
      </c>
      <c r="E787" s="83">
        <v>44286</v>
      </c>
      <c r="F787" s="80">
        <v>44287</v>
      </c>
      <c r="G787" s="80">
        <v>44294</v>
      </c>
      <c r="H787" s="132">
        <v>0.035</v>
      </c>
      <c r="I787" s="76">
        <v>0.0135</v>
      </c>
      <c r="J787" s="88">
        <v>0</v>
      </c>
      <c r="K787" s="88">
        <v>0.0135</v>
      </c>
      <c r="L787" s="76">
        <f>+K787-((K787*0.0075*0.125)+(K787*(1-0.0075)*0.26))</f>
        <v>0.01000366875</v>
      </c>
      <c r="M787" s="76">
        <f t="shared" si="29"/>
        <v>0.01000366875</v>
      </c>
      <c r="N787" s="77" t="s">
        <v>251</v>
      </c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  <c r="IR787" s="3"/>
    </row>
    <row r="788" spans="1:14" s="30" customFormat="1" ht="23.25" customHeight="1">
      <c r="A788" s="94"/>
      <c r="B788" s="12" t="s">
        <v>190</v>
      </c>
      <c r="C788" s="69" t="s">
        <v>370</v>
      </c>
      <c r="D788" s="12" t="s">
        <v>411</v>
      </c>
      <c r="E788" s="65">
        <v>44286</v>
      </c>
      <c r="F788" s="66">
        <v>44287</v>
      </c>
      <c r="G788" s="66">
        <v>44294</v>
      </c>
      <c r="H788" s="70">
        <v>0.035</v>
      </c>
      <c r="I788" s="60">
        <v>0.2555</v>
      </c>
      <c r="J788" s="113">
        <v>0</v>
      </c>
      <c r="K788" s="113">
        <v>0.2555</v>
      </c>
      <c r="L788" s="60">
        <f>+K788-((K788*0.0075*0.125)+(K788*(1-0.0075)*0.26))</f>
        <v>0.18932869375</v>
      </c>
      <c r="M788" s="60">
        <f t="shared" si="29"/>
        <v>0.18932869375</v>
      </c>
      <c r="N788" s="67" t="s">
        <v>251</v>
      </c>
    </row>
    <row r="789" spans="1:14" s="30" customFormat="1" ht="23.25" customHeight="1">
      <c r="A789" s="94"/>
      <c r="B789" s="12" t="s">
        <v>198</v>
      </c>
      <c r="C789" s="74" t="s">
        <v>371</v>
      </c>
      <c r="D789" s="73" t="s">
        <v>411</v>
      </c>
      <c r="E789" s="65">
        <v>44286</v>
      </c>
      <c r="F789" s="66">
        <v>44287</v>
      </c>
      <c r="G789" s="66">
        <v>44294</v>
      </c>
      <c r="H789" s="70">
        <v>0.035</v>
      </c>
      <c r="I789" s="60">
        <v>0.2564</v>
      </c>
      <c r="J789" s="113">
        <v>0</v>
      </c>
      <c r="K789" s="113">
        <v>0.2564</v>
      </c>
      <c r="L789" s="60">
        <f>+K789-((K789*0.0075*0.125)+(K789*(1-0.0075)*0.26))</f>
        <v>0.189995605</v>
      </c>
      <c r="M789" s="60">
        <f t="shared" si="29"/>
        <v>0.189995605</v>
      </c>
      <c r="N789" s="67" t="s">
        <v>251</v>
      </c>
    </row>
    <row r="790" spans="1:252" s="30" customFormat="1" ht="23.25" customHeight="1">
      <c r="A790" s="10"/>
      <c r="B790" s="1" t="s">
        <v>516</v>
      </c>
      <c r="C790" s="79" t="s">
        <v>518</v>
      </c>
      <c r="D790" s="1" t="s">
        <v>411</v>
      </c>
      <c r="E790" s="83">
        <v>44286</v>
      </c>
      <c r="F790" s="80">
        <v>44287</v>
      </c>
      <c r="G790" s="80">
        <v>44294</v>
      </c>
      <c r="H790" s="132">
        <v>0.02</v>
      </c>
      <c r="I790" s="76">
        <v>0.1347</v>
      </c>
      <c r="J790" s="88">
        <v>0</v>
      </c>
      <c r="K790" s="88">
        <v>0.1347</v>
      </c>
      <c r="L790" s="76">
        <f>+K790-((K790*0.505*0.125)+(K790*(1-0.505)*0.26))</f>
        <v>0.10886117249999999</v>
      </c>
      <c r="M790" s="76">
        <f t="shared" si="29"/>
        <v>0.10886117249999999</v>
      </c>
      <c r="N790" s="77" t="s">
        <v>251</v>
      </c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  <c r="IR790" s="3"/>
    </row>
    <row r="791" spans="1:252" s="30" customFormat="1" ht="23.25" customHeight="1">
      <c r="A791" s="10"/>
      <c r="B791" s="1" t="s">
        <v>517</v>
      </c>
      <c r="C791" s="79" t="s">
        <v>519</v>
      </c>
      <c r="D791" s="1" t="s">
        <v>411</v>
      </c>
      <c r="E791" s="83">
        <v>44286</v>
      </c>
      <c r="F791" s="80">
        <v>44287</v>
      </c>
      <c r="G791" s="80">
        <v>44294</v>
      </c>
      <c r="H791" s="132">
        <v>0.02</v>
      </c>
      <c r="I791" s="76">
        <v>0.1356</v>
      </c>
      <c r="J791" s="88">
        <v>0</v>
      </c>
      <c r="K791" s="88">
        <v>0.1356</v>
      </c>
      <c r="L791" s="76">
        <f>+K791-((K791*0.505*0.125)+(K791*(1-0.505)*0.26))</f>
        <v>0.10958852999999999</v>
      </c>
      <c r="M791" s="76">
        <f t="shared" si="29"/>
        <v>0.10958852999999999</v>
      </c>
      <c r="N791" s="77" t="s">
        <v>251</v>
      </c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  <c r="IR791" s="3"/>
    </row>
    <row r="792" spans="1:14" s="30" customFormat="1" ht="23.25" customHeight="1">
      <c r="A792" s="94"/>
      <c r="B792" s="12" t="s">
        <v>173</v>
      </c>
      <c r="C792" s="74" t="s">
        <v>372</v>
      </c>
      <c r="D792" s="12" t="s">
        <v>410</v>
      </c>
      <c r="E792" s="65">
        <v>44286</v>
      </c>
      <c r="F792" s="66">
        <v>44287</v>
      </c>
      <c r="G792" s="66">
        <v>44291</v>
      </c>
      <c r="H792" s="70">
        <v>0.01</v>
      </c>
      <c r="I792" s="60">
        <v>0.0138</v>
      </c>
      <c r="J792" s="113">
        <v>0</v>
      </c>
      <c r="K792" s="113">
        <v>0.0138</v>
      </c>
      <c r="L792" s="60">
        <f>+K792-((K792*0.329*0.125)+(K792*(1-0.329)*0.26))</f>
        <v>0.010824927</v>
      </c>
      <c r="M792" s="60">
        <v>0</v>
      </c>
      <c r="N792" s="67" t="s">
        <v>248</v>
      </c>
    </row>
    <row r="793" spans="1:14" s="30" customFormat="1" ht="23.25" customHeight="1">
      <c r="A793" s="94"/>
      <c r="B793" s="12" t="s">
        <v>150</v>
      </c>
      <c r="C793" s="64" t="s">
        <v>377</v>
      </c>
      <c r="D793" s="12" t="s">
        <v>410</v>
      </c>
      <c r="E793" s="65">
        <v>44286</v>
      </c>
      <c r="F793" s="66">
        <v>44287</v>
      </c>
      <c r="G793" s="66">
        <v>44291</v>
      </c>
      <c r="H793" s="70">
        <v>0.025</v>
      </c>
      <c r="I793" s="60">
        <v>0.0354</v>
      </c>
      <c r="J793" s="113">
        <v>0</v>
      </c>
      <c r="K793" s="113">
        <v>0.0354</v>
      </c>
      <c r="L793" s="60">
        <f>+K793-((K793*0.002*0.125)+(K793*(1-0.002)*0.26))</f>
        <v>0.026205558000000004</v>
      </c>
      <c r="M793" s="60">
        <v>0</v>
      </c>
      <c r="N793" s="67" t="s">
        <v>248</v>
      </c>
    </row>
    <row r="794" spans="1:14" s="30" customFormat="1" ht="23.25" customHeight="1">
      <c r="A794" s="94"/>
      <c r="B794" s="12" t="s">
        <v>513</v>
      </c>
      <c r="C794" s="64" t="s">
        <v>512</v>
      </c>
      <c r="D794" s="12" t="s">
        <v>410</v>
      </c>
      <c r="E794" s="65">
        <v>44286</v>
      </c>
      <c r="F794" s="66">
        <v>44287</v>
      </c>
      <c r="G794" s="66">
        <v>44291</v>
      </c>
      <c r="H794" s="70">
        <v>0.025</v>
      </c>
      <c r="I794" s="60">
        <v>0.0315</v>
      </c>
      <c r="J794" s="113">
        <v>0</v>
      </c>
      <c r="K794" s="113">
        <v>0.0315</v>
      </c>
      <c r="L794" s="60">
        <f>+K794-((K794*0.002*0.125)+(K794*(1-0.002)*0.26))</f>
        <v>0.023318505000000003</v>
      </c>
      <c r="M794" s="60">
        <v>0</v>
      </c>
      <c r="N794" s="67" t="s">
        <v>248</v>
      </c>
    </row>
    <row r="795" spans="1:14" s="30" customFormat="1" ht="23.25" customHeight="1">
      <c r="A795" s="94"/>
      <c r="B795" s="12" t="s">
        <v>441</v>
      </c>
      <c r="C795" s="64" t="s">
        <v>444</v>
      </c>
      <c r="D795" s="12" t="s">
        <v>410</v>
      </c>
      <c r="E795" s="65">
        <v>44286</v>
      </c>
      <c r="F795" s="66">
        <v>44287</v>
      </c>
      <c r="G795" s="66">
        <v>44291</v>
      </c>
      <c r="H795" s="70">
        <v>0.0075</v>
      </c>
      <c r="I795" s="60">
        <v>0.0086</v>
      </c>
      <c r="J795" s="113">
        <v>0</v>
      </c>
      <c r="K795" s="113">
        <v>0.0086</v>
      </c>
      <c r="L795" s="60">
        <f>+K795-((K795*0.363*0.125)+(K795*(1-0.363)*0.26))</f>
        <v>0.006785443</v>
      </c>
      <c r="M795" s="60">
        <v>0</v>
      </c>
      <c r="N795" s="67" t="s">
        <v>248</v>
      </c>
    </row>
    <row r="796" spans="1:14" s="30" customFormat="1" ht="23.25" customHeight="1">
      <c r="A796" s="94"/>
      <c r="B796" s="12" t="s">
        <v>440</v>
      </c>
      <c r="C796" s="64" t="s">
        <v>443</v>
      </c>
      <c r="D796" s="12" t="s">
        <v>410</v>
      </c>
      <c r="E796" s="65">
        <v>44286</v>
      </c>
      <c r="F796" s="66">
        <v>44287</v>
      </c>
      <c r="G796" s="66">
        <v>44291</v>
      </c>
      <c r="H796" s="70">
        <v>0.0075</v>
      </c>
      <c r="I796" s="60">
        <v>0.1753</v>
      </c>
      <c r="J796" s="113">
        <v>0</v>
      </c>
      <c r="K796" s="113">
        <v>0.1753</v>
      </c>
      <c r="L796" s="60">
        <f>+K796-((K796*0.363*0.125)+(K796*(1-0.363)*0.26))</f>
        <v>0.1383125765</v>
      </c>
      <c r="M796" s="60">
        <v>0</v>
      </c>
      <c r="N796" s="67" t="s">
        <v>248</v>
      </c>
    </row>
    <row r="797" spans="1:14" s="30" customFormat="1" ht="23.25" customHeight="1">
      <c r="A797" s="94"/>
      <c r="B797" s="12" t="s">
        <v>299</v>
      </c>
      <c r="C797" s="64" t="s">
        <v>520</v>
      </c>
      <c r="D797" s="12" t="s">
        <v>410</v>
      </c>
      <c r="E797" s="65">
        <v>44286</v>
      </c>
      <c r="F797" s="66">
        <v>44287</v>
      </c>
      <c r="G797" s="66">
        <v>44291</v>
      </c>
      <c r="H797" s="70">
        <v>0.012</v>
      </c>
      <c r="I797" s="60">
        <v>0.0148</v>
      </c>
      <c r="J797" s="113">
        <v>0</v>
      </c>
      <c r="K797" s="113">
        <v>0.0148</v>
      </c>
      <c r="L797" s="60">
        <f>+K797-((K797*0.334*0.125)+(K797*(1-0.334)*0.26))</f>
        <v>0.011619332</v>
      </c>
      <c r="M797" s="60">
        <v>0</v>
      </c>
      <c r="N797" s="67" t="s">
        <v>248</v>
      </c>
    </row>
    <row r="798" spans="1:14" s="30" customFormat="1" ht="23.25" customHeight="1">
      <c r="A798" s="94"/>
      <c r="B798" s="12" t="s">
        <v>182</v>
      </c>
      <c r="C798" s="69" t="s">
        <v>479</v>
      </c>
      <c r="D798" s="12" t="s">
        <v>410</v>
      </c>
      <c r="E798" s="65">
        <v>44286</v>
      </c>
      <c r="F798" s="66">
        <v>44287</v>
      </c>
      <c r="G798" s="66">
        <v>44291</v>
      </c>
      <c r="H798" s="70">
        <v>0.012</v>
      </c>
      <c r="I798" s="60">
        <v>0.2891</v>
      </c>
      <c r="J798" s="113">
        <v>0</v>
      </c>
      <c r="K798" s="113">
        <v>0.2891</v>
      </c>
      <c r="L798" s="60">
        <f>+K798-((K798*0.334*0.125)+(K798*(1-0.334)*0.26))</f>
        <v>0.226969519</v>
      </c>
      <c r="M798" s="60">
        <v>0</v>
      </c>
      <c r="N798" s="67" t="s">
        <v>248</v>
      </c>
    </row>
    <row r="799" spans="1:14" s="30" customFormat="1" ht="23.25" customHeight="1">
      <c r="A799" s="94"/>
      <c r="B799" s="12" t="s">
        <v>202</v>
      </c>
      <c r="C799" s="74" t="s">
        <v>480</v>
      </c>
      <c r="D799" s="12" t="s">
        <v>410</v>
      </c>
      <c r="E799" s="65">
        <v>44286</v>
      </c>
      <c r="F799" s="66">
        <v>44287</v>
      </c>
      <c r="G799" s="66">
        <v>44291</v>
      </c>
      <c r="H799" s="70">
        <v>0.012</v>
      </c>
      <c r="I799" s="60">
        <v>0.2927</v>
      </c>
      <c r="J799" s="113">
        <v>0</v>
      </c>
      <c r="K799" s="113">
        <v>0.2927</v>
      </c>
      <c r="L799" s="60">
        <f>+K799-((K799*0.334*0.125)+(K799*(1-0.334)*0.26))</f>
        <v>0.22979584300000003</v>
      </c>
      <c r="M799" s="60">
        <v>0</v>
      </c>
      <c r="N799" s="67" t="s">
        <v>248</v>
      </c>
    </row>
    <row r="800" spans="1:14" s="30" customFormat="1" ht="23.25" customHeight="1">
      <c r="A800" s="94"/>
      <c r="B800" s="12" t="s">
        <v>146</v>
      </c>
      <c r="C800" s="64" t="s">
        <v>380</v>
      </c>
      <c r="D800" s="12" t="s">
        <v>410</v>
      </c>
      <c r="E800" s="65">
        <v>44286</v>
      </c>
      <c r="F800" s="66">
        <v>44287</v>
      </c>
      <c r="G800" s="66">
        <v>44291</v>
      </c>
      <c r="H800" s="70">
        <v>0.03</v>
      </c>
      <c r="I800" s="60">
        <v>0.0463</v>
      </c>
      <c r="J800" s="113">
        <v>0</v>
      </c>
      <c r="K800" s="113">
        <v>0.0463</v>
      </c>
      <c r="L800" s="60">
        <f>+K800-((K800*0.009*0.125)+(K800*(1-0.009)*0.26))</f>
        <v>0.0343182545</v>
      </c>
      <c r="M800" s="60">
        <v>0</v>
      </c>
      <c r="N800" s="67" t="s">
        <v>248</v>
      </c>
    </row>
    <row r="801" spans="1:14" s="30" customFormat="1" ht="23.25" customHeight="1">
      <c r="A801" s="94"/>
      <c r="B801" s="12" t="s">
        <v>163</v>
      </c>
      <c r="C801" s="69" t="s">
        <v>381</v>
      </c>
      <c r="D801" s="12" t="s">
        <v>410</v>
      </c>
      <c r="E801" s="65">
        <v>44286</v>
      </c>
      <c r="F801" s="66">
        <v>44287</v>
      </c>
      <c r="G801" s="66">
        <v>44291</v>
      </c>
      <c r="H801" s="70">
        <v>0.03</v>
      </c>
      <c r="I801" s="60">
        <v>0.0417</v>
      </c>
      <c r="J801" s="113">
        <v>0</v>
      </c>
      <c r="K801" s="113">
        <v>0.0417</v>
      </c>
      <c r="L801" s="60">
        <f>+K801-((K801*0.009*0.125)+(K801*(1-0.009)*0.26))</f>
        <v>0.0309086655</v>
      </c>
      <c r="M801" s="60">
        <v>0</v>
      </c>
      <c r="N801" s="67" t="s">
        <v>248</v>
      </c>
    </row>
    <row r="802" spans="1:14" s="30" customFormat="1" ht="23.25" customHeight="1">
      <c r="A802" s="94"/>
      <c r="B802" s="12" t="s">
        <v>151</v>
      </c>
      <c r="C802" s="64" t="s">
        <v>383</v>
      </c>
      <c r="D802" s="12" t="s">
        <v>410</v>
      </c>
      <c r="E802" s="65">
        <v>44286</v>
      </c>
      <c r="F802" s="66">
        <v>44287</v>
      </c>
      <c r="G802" s="66">
        <v>44291</v>
      </c>
      <c r="H802" s="70">
        <v>0.025</v>
      </c>
      <c r="I802" s="60">
        <v>0.0309</v>
      </c>
      <c r="J802" s="113">
        <v>0</v>
      </c>
      <c r="K802" s="113">
        <v>0.0309</v>
      </c>
      <c r="L802" s="60">
        <f>+K802-((K802*0.052*0.125)+(K802*(1-0.052)*0.26))</f>
        <v>0.023082918</v>
      </c>
      <c r="M802" s="60">
        <v>0</v>
      </c>
      <c r="N802" s="67" t="s">
        <v>248</v>
      </c>
    </row>
    <row r="803" spans="1:14" s="30" customFormat="1" ht="23.25" customHeight="1">
      <c r="A803" s="94"/>
      <c r="B803" s="12" t="s">
        <v>166</v>
      </c>
      <c r="C803" s="69" t="s">
        <v>384</v>
      </c>
      <c r="D803" s="12" t="s">
        <v>410</v>
      </c>
      <c r="E803" s="65">
        <v>44286</v>
      </c>
      <c r="F803" s="66">
        <v>44287</v>
      </c>
      <c r="G803" s="66">
        <v>44291</v>
      </c>
      <c r="H803" s="70">
        <v>0.025</v>
      </c>
      <c r="I803" s="60">
        <v>0.0307</v>
      </c>
      <c r="J803" s="113">
        <v>0</v>
      </c>
      <c r="K803" s="113">
        <v>0.0307</v>
      </c>
      <c r="L803" s="60">
        <f>+K803-((K803*0.052*0.125)+(K803*(1-0.052)*0.26))</f>
        <v>0.022933514000000002</v>
      </c>
      <c r="M803" s="60">
        <v>0</v>
      </c>
      <c r="N803" s="67" t="s">
        <v>248</v>
      </c>
    </row>
    <row r="804" spans="1:14" s="30" customFormat="1" ht="23.25" customHeight="1">
      <c r="A804" s="94"/>
      <c r="B804" s="12" t="s">
        <v>149</v>
      </c>
      <c r="C804" s="64" t="s">
        <v>386</v>
      </c>
      <c r="D804" s="12" t="s">
        <v>410</v>
      </c>
      <c r="E804" s="65">
        <v>44286</v>
      </c>
      <c r="F804" s="66">
        <v>44287</v>
      </c>
      <c r="G804" s="66">
        <v>44291</v>
      </c>
      <c r="H804" s="70">
        <v>0.035</v>
      </c>
      <c r="I804" s="60">
        <v>0.0469</v>
      </c>
      <c r="J804" s="113">
        <v>0</v>
      </c>
      <c r="K804" s="113">
        <v>0.0469</v>
      </c>
      <c r="L804" s="60">
        <f>+K804-((K804*0.0075*0.125)+(K804*(1-0.0075)*0.26))</f>
        <v>0.03475348624999999</v>
      </c>
      <c r="M804" s="60">
        <v>0</v>
      </c>
      <c r="N804" s="67" t="s">
        <v>248</v>
      </c>
    </row>
    <row r="805" spans="1:14" s="30" customFormat="1" ht="23.25" customHeight="1">
      <c r="A805" s="94"/>
      <c r="B805" s="12" t="s">
        <v>165</v>
      </c>
      <c r="C805" s="69" t="s">
        <v>387</v>
      </c>
      <c r="D805" s="12" t="s">
        <v>410</v>
      </c>
      <c r="E805" s="65">
        <v>44286</v>
      </c>
      <c r="F805" s="66">
        <v>44287</v>
      </c>
      <c r="G805" s="66">
        <v>44291</v>
      </c>
      <c r="H805" s="70">
        <v>0.035</v>
      </c>
      <c r="I805" s="60">
        <v>0.0441</v>
      </c>
      <c r="J805" s="113">
        <v>0</v>
      </c>
      <c r="K805" s="113">
        <v>0.0441</v>
      </c>
      <c r="L805" s="60">
        <f>+K805-((K805*0.0075*0.125)+(K805*(1-0.0075)*0.26))</f>
        <v>0.032678651249999996</v>
      </c>
      <c r="M805" s="60">
        <v>0</v>
      </c>
      <c r="N805" s="67" t="s">
        <v>248</v>
      </c>
    </row>
    <row r="806" spans="1:14" s="30" customFormat="1" ht="23.25" customHeight="1">
      <c r="A806" s="94"/>
      <c r="B806" s="12" t="s">
        <v>153</v>
      </c>
      <c r="C806" s="64" t="s">
        <v>394</v>
      </c>
      <c r="D806" s="12" t="s">
        <v>410</v>
      </c>
      <c r="E806" s="65">
        <v>44286</v>
      </c>
      <c r="F806" s="66">
        <v>44287</v>
      </c>
      <c r="G806" s="66">
        <v>44291</v>
      </c>
      <c r="H806" s="70">
        <v>0.014</v>
      </c>
      <c r="I806" s="60">
        <v>0.0174</v>
      </c>
      <c r="J806" s="113">
        <v>0</v>
      </c>
      <c r="K806" s="113">
        <v>0.0174</v>
      </c>
      <c r="L806" s="60">
        <f>+K806-((K806*0.118*0.125)+(K806*(1-0.118)*0.26))</f>
        <v>0.013153182</v>
      </c>
      <c r="M806" s="60">
        <v>0</v>
      </c>
      <c r="N806" s="67" t="s">
        <v>248</v>
      </c>
    </row>
    <row r="807" spans="1:14" s="30" customFormat="1" ht="23.25" customHeight="1">
      <c r="A807" s="94"/>
      <c r="B807" s="12" t="s">
        <v>152</v>
      </c>
      <c r="C807" s="64" t="s">
        <v>395</v>
      </c>
      <c r="D807" s="12" t="s">
        <v>410</v>
      </c>
      <c r="E807" s="65">
        <v>44286</v>
      </c>
      <c r="F807" s="66">
        <v>44287</v>
      </c>
      <c r="G807" s="66">
        <v>44291</v>
      </c>
      <c r="H807" s="70">
        <v>0.014</v>
      </c>
      <c r="I807" s="60">
        <v>0.0219</v>
      </c>
      <c r="J807" s="113">
        <v>0</v>
      </c>
      <c r="K807" s="113">
        <v>0.0219</v>
      </c>
      <c r="L807" s="60">
        <f>+K807-((K807*0.118*0.125)+(K807*(1-0.118)*0.26))</f>
        <v>0.016554866999999997</v>
      </c>
      <c r="M807" s="60">
        <v>0</v>
      </c>
      <c r="N807" s="67" t="s">
        <v>248</v>
      </c>
    </row>
    <row r="808" spans="1:14" s="30" customFormat="1" ht="23.25" customHeight="1">
      <c r="A808" s="94"/>
      <c r="B808" s="12" t="s">
        <v>167</v>
      </c>
      <c r="C808" s="69" t="s">
        <v>396</v>
      </c>
      <c r="D808" s="12" t="s">
        <v>410</v>
      </c>
      <c r="E808" s="65">
        <v>44286</v>
      </c>
      <c r="F808" s="66">
        <v>44287</v>
      </c>
      <c r="G808" s="66">
        <v>44291</v>
      </c>
      <c r="H808" s="70">
        <v>0.014</v>
      </c>
      <c r="I808" s="60">
        <v>0.021</v>
      </c>
      <c r="J808" s="113">
        <v>0</v>
      </c>
      <c r="K808" s="113">
        <v>0.021</v>
      </c>
      <c r="L808" s="60">
        <f>+K808-((K808*0.118*0.125)+(K808*(1-0.118)*0.26))</f>
        <v>0.01587453</v>
      </c>
      <c r="M808" s="60">
        <v>0</v>
      </c>
      <c r="N808" s="67" t="s">
        <v>248</v>
      </c>
    </row>
    <row r="809" spans="1:14" s="30" customFormat="1" ht="23.25" customHeight="1">
      <c r="A809" s="94"/>
      <c r="B809" s="12" t="s">
        <v>301</v>
      </c>
      <c r="C809" s="64" t="s">
        <v>407</v>
      </c>
      <c r="D809" s="12" t="s">
        <v>410</v>
      </c>
      <c r="E809" s="65">
        <v>44286</v>
      </c>
      <c r="F809" s="66">
        <v>44287</v>
      </c>
      <c r="G809" s="66">
        <v>44291</v>
      </c>
      <c r="H809" s="70">
        <v>0.014</v>
      </c>
      <c r="I809" s="60">
        <v>0.0165</v>
      </c>
      <c r="J809" s="113">
        <v>0</v>
      </c>
      <c r="K809" s="113">
        <v>0.0165</v>
      </c>
      <c r="L809" s="60">
        <f>+K809-((K809*0.118*0.125)+(K809*(1-0.118)*0.26))</f>
        <v>0.012472845</v>
      </c>
      <c r="M809" s="60">
        <v>0</v>
      </c>
      <c r="N809" s="67" t="s">
        <v>248</v>
      </c>
    </row>
    <row r="810" spans="1:14" s="30" customFormat="1" ht="23.25" customHeight="1">
      <c r="A810" s="94"/>
      <c r="B810" s="12" t="s">
        <v>304</v>
      </c>
      <c r="C810" s="64" t="s">
        <v>408</v>
      </c>
      <c r="D810" s="12" t="s">
        <v>410</v>
      </c>
      <c r="E810" s="65">
        <v>44286</v>
      </c>
      <c r="F810" s="66">
        <v>44287</v>
      </c>
      <c r="G810" s="66">
        <v>44291</v>
      </c>
      <c r="H810" s="70">
        <v>0.01</v>
      </c>
      <c r="I810" s="60">
        <v>0.0127</v>
      </c>
      <c r="J810" s="113">
        <v>0</v>
      </c>
      <c r="K810" s="113">
        <v>0.0127</v>
      </c>
      <c r="L810" s="60">
        <f>+K810-((K810*0.135*0.125)+(K810*(1-0.135)*0.26))</f>
        <v>0.009629457499999999</v>
      </c>
      <c r="M810" s="60">
        <v>0</v>
      </c>
      <c r="N810" s="67" t="s">
        <v>248</v>
      </c>
    </row>
    <row r="811" spans="1:14" s="30" customFormat="1" ht="23.25" customHeight="1">
      <c r="A811" s="94"/>
      <c r="B811" s="12" t="s">
        <v>183</v>
      </c>
      <c r="C811" s="69" t="s">
        <v>398</v>
      </c>
      <c r="D811" s="12" t="s">
        <v>410</v>
      </c>
      <c r="E811" s="65">
        <v>44286</v>
      </c>
      <c r="F811" s="66">
        <v>44287</v>
      </c>
      <c r="G811" s="66">
        <v>44291</v>
      </c>
      <c r="H811" s="70">
        <v>0.01</v>
      </c>
      <c r="I811" s="60">
        <v>0.0127</v>
      </c>
      <c r="J811" s="113">
        <v>0</v>
      </c>
      <c r="K811" s="113">
        <v>0.0127</v>
      </c>
      <c r="L811" s="60">
        <f>+K811-((K811*0.135*0.125)+(K811*(1-0.135)*0.26))</f>
        <v>0.009629457499999999</v>
      </c>
      <c r="M811" s="60">
        <v>0</v>
      </c>
      <c r="N811" s="67" t="s">
        <v>248</v>
      </c>
    </row>
    <row r="812" spans="1:14" ht="23.25" customHeight="1">
      <c r="A812" s="10"/>
      <c r="B812" s="1" t="s">
        <v>313</v>
      </c>
      <c r="C812" s="79" t="s">
        <v>429</v>
      </c>
      <c r="D812" s="1" t="s">
        <v>411</v>
      </c>
      <c r="E812" s="83">
        <v>44286</v>
      </c>
      <c r="F812" s="80">
        <v>44287</v>
      </c>
      <c r="G812" s="80">
        <v>44294</v>
      </c>
      <c r="H812" s="132">
        <v>0.01</v>
      </c>
      <c r="I812" s="76">
        <v>0.0043</v>
      </c>
      <c r="J812" s="88">
        <v>0</v>
      </c>
      <c r="K812" s="88">
        <v>0.0043</v>
      </c>
      <c r="L812" s="76">
        <f>+K812-((K812*0.135*0.125)+(K812*(1-0.135)*0.26))</f>
        <v>0.0032603675</v>
      </c>
      <c r="M812" s="76">
        <f>J812+L812</f>
        <v>0.0032603675</v>
      </c>
      <c r="N812" s="77" t="s">
        <v>251</v>
      </c>
    </row>
    <row r="813" spans="1:252" ht="23.25" customHeight="1">
      <c r="A813" s="94"/>
      <c r="B813" s="12" t="s">
        <v>305</v>
      </c>
      <c r="C813" s="64" t="s">
        <v>409</v>
      </c>
      <c r="D813" s="12" t="s">
        <v>410</v>
      </c>
      <c r="E813" s="65">
        <v>44286</v>
      </c>
      <c r="F813" s="66">
        <v>44287</v>
      </c>
      <c r="G813" s="66">
        <v>44291</v>
      </c>
      <c r="H813" s="70">
        <v>0.01</v>
      </c>
      <c r="I813" s="60">
        <v>0.0128</v>
      </c>
      <c r="J813" s="113">
        <v>0</v>
      </c>
      <c r="K813" s="113">
        <v>0.0128</v>
      </c>
      <c r="L813" s="60">
        <f>+K813-((K813*0.135*0.125)+(K813*(1-0.135)*0.26))</f>
        <v>0.00970528</v>
      </c>
      <c r="M813" s="60">
        <v>0</v>
      </c>
      <c r="N813" s="67" t="s">
        <v>248</v>
      </c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30"/>
      <c r="BQ813" s="30"/>
      <c r="BR813" s="30"/>
      <c r="BS813" s="30"/>
      <c r="BT813" s="30"/>
      <c r="BU813" s="30"/>
      <c r="BV813" s="30"/>
      <c r="BW813" s="30"/>
      <c r="BX813" s="30"/>
      <c r="BY813" s="30"/>
      <c r="BZ813" s="30"/>
      <c r="CA813" s="30"/>
      <c r="CB813" s="30"/>
      <c r="CC813" s="30"/>
      <c r="CD813" s="30"/>
      <c r="CE813" s="30"/>
      <c r="CF813" s="30"/>
      <c r="CG813" s="30"/>
      <c r="CH813" s="30"/>
      <c r="CI813" s="30"/>
      <c r="CJ813" s="30"/>
      <c r="CK813" s="30"/>
      <c r="CL813" s="30"/>
      <c r="CM813" s="30"/>
      <c r="CN813" s="30"/>
      <c r="CO813" s="30"/>
      <c r="CP813" s="30"/>
      <c r="CQ813" s="30"/>
      <c r="CR813" s="30"/>
      <c r="CS813" s="30"/>
      <c r="CT813" s="30"/>
      <c r="CU813" s="30"/>
      <c r="CV813" s="30"/>
      <c r="CW813" s="30"/>
      <c r="CX813" s="30"/>
      <c r="CY813" s="30"/>
      <c r="CZ813" s="30"/>
      <c r="DA813" s="30"/>
      <c r="DB813" s="30"/>
      <c r="DC813" s="30"/>
      <c r="DD813" s="30"/>
      <c r="DE813" s="30"/>
      <c r="DF813" s="30"/>
      <c r="DG813" s="30"/>
      <c r="DH813" s="30"/>
      <c r="DI813" s="30"/>
      <c r="DJ813" s="30"/>
      <c r="DK813" s="30"/>
      <c r="DL813" s="30"/>
      <c r="DM813" s="30"/>
      <c r="DN813" s="30"/>
      <c r="DO813" s="30"/>
      <c r="DP813" s="30"/>
      <c r="DQ813" s="30"/>
      <c r="DR813" s="30"/>
      <c r="DS813" s="30"/>
      <c r="DT813" s="30"/>
      <c r="DU813" s="30"/>
      <c r="DV813" s="30"/>
      <c r="DW813" s="30"/>
      <c r="DX813" s="30"/>
      <c r="DY813" s="30"/>
      <c r="DZ813" s="30"/>
      <c r="EA813" s="30"/>
      <c r="EB813" s="30"/>
      <c r="EC813" s="30"/>
      <c r="ED813" s="30"/>
      <c r="EE813" s="30"/>
      <c r="EF813" s="30"/>
      <c r="EG813" s="30"/>
      <c r="EH813" s="30"/>
      <c r="EI813" s="30"/>
      <c r="EJ813" s="30"/>
      <c r="EK813" s="30"/>
      <c r="EL813" s="30"/>
      <c r="EM813" s="30"/>
      <c r="EN813" s="30"/>
      <c r="EO813" s="30"/>
      <c r="EP813" s="30"/>
      <c r="EQ813" s="30"/>
      <c r="ER813" s="30"/>
      <c r="ES813" s="30"/>
      <c r="ET813" s="30"/>
      <c r="EU813" s="30"/>
      <c r="EV813" s="30"/>
      <c r="EW813" s="30"/>
      <c r="EX813" s="30"/>
      <c r="EY813" s="30"/>
      <c r="EZ813" s="30"/>
      <c r="FA813" s="30"/>
      <c r="FB813" s="30"/>
      <c r="FC813" s="30"/>
      <c r="FD813" s="30"/>
      <c r="FE813" s="30"/>
      <c r="FF813" s="30"/>
      <c r="FG813" s="30"/>
      <c r="FH813" s="30"/>
      <c r="FI813" s="30"/>
      <c r="FJ813" s="30"/>
      <c r="FK813" s="30"/>
      <c r="FL813" s="30"/>
      <c r="FM813" s="30"/>
      <c r="FN813" s="30"/>
      <c r="FO813" s="30"/>
      <c r="FP813" s="30"/>
      <c r="FQ813" s="30"/>
      <c r="FR813" s="30"/>
      <c r="FS813" s="30"/>
      <c r="FT813" s="30"/>
      <c r="FU813" s="30"/>
      <c r="FV813" s="30"/>
      <c r="FW813" s="30"/>
      <c r="FX813" s="30"/>
      <c r="FY813" s="30"/>
      <c r="FZ813" s="30"/>
      <c r="GA813" s="30"/>
      <c r="GB813" s="30"/>
      <c r="GC813" s="30"/>
      <c r="GD813" s="30"/>
      <c r="GE813" s="30"/>
      <c r="GF813" s="30"/>
      <c r="GG813" s="30"/>
      <c r="GH813" s="30"/>
      <c r="GI813" s="30"/>
      <c r="GJ813" s="30"/>
      <c r="GK813" s="30"/>
      <c r="GL813" s="30"/>
      <c r="GM813" s="30"/>
      <c r="GN813" s="30"/>
      <c r="GO813" s="30"/>
      <c r="GP813" s="30"/>
      <c r="GQ813" s="30"/>
      <c r="GR813" s="30"/>
      <c r="GS813" s="30"/>
      <c r="GT813" s="30"/>
      <c r="GU813" s="30"/>
      <c r="GV813" s="30"/>
      <c r="GW813" s="30"/>
      <c r="GX813" s="30"/>
      <c r="GY813" s="30"/>
      <c r="GZ813" s="30"/>
      <c r="HA813" s="30"/>
      <c r="HB813" s="30"/>
      <c r="HC813" s="30"/>
      <c r="HD813" s="30"/>
      <c r="HE813" s="30"/>
      <c r="HF813" s="30"/>
      <c r="HG813" s="30"/>
      <c r="HH813" s="30"/>
      <c r="HI813" s="30"/>
      <c r="HJ813" s="30"/>
      <c r="HK813" s="30"/>
      <c r="HL813" s="30"/>
      <c r="HM813" s="30"/>
      <c r="HN813" s="30"/>
      <c r="HO813" s="30"/>
      <c r="HP813" s="30"/>
      <c r="HQ813" s="30"/>
      <c r="HR813" s="30"/>
      <c r="HS813" s="30"/>
      <c r="HT813" s="30"/>
      <c r="HU813" s="30"/>
      <c r="HV813" s="30"/>
      <c r="HW813" s="30"/>
      <c r="HX813" s="30"/>
      <c r="HY813" s="30"/>
      <c r="HZ813" s="30"/>
      <c r="IA813" s="30"/>
      <c r="IB813" s="30"/>
      <c r="IC813" s="30"/>
      <c r="ID813" s="30"/>
      <c r="IE813" s="30"/>
      <c r="IF813" s="30"/>
      <c r="IG813" s="30"/>
      <c r="IH813" s="30"/>
      <c r="II813" s="30"/>
      <c r="IJ813" s="30"/>
      <c r="IK813" s="30"/>
      <c r="IL813" s="30"/>
      <c r="IM813" s="30"/>
      <c r="IN813" s="30"/>
      <c r="IO813" s="30"/>
      <c r="IP813" s="30"/>
      <c r="IQ813" s="30"/>
      <c r="IR813" s="30"/>
    </row>
    <row r="814" spans="1:252" ht="23.25" customHeight="1">
      <c r="A814" s="94"/>
      <c r="B814" s="12" t="s">
        <v>147</v>
      </c>
      <c r="C814" s="64" t="s">
        <v>468</v>
      </c>
      <c r="D814" s="12" t="s">
        <v>410</v>
      </c>
      <c r="E814" s="65">
        <v>44286</v>
      </c>
      <c r="F814" s="66">
        <v>44287</v>
      </c>
      <c r="G814" s="66">
        <v>44291</v>
      </c>
      <c r="H814" s="70">
        <v>0.03</v>
      </c>
      <c r="I814" s="60">
        <v>0.0414</v>
      </c>
      <c r="J814" s="113">
        <v>0</v>
      </c>
      <c r="K814" s="113">
        <v>0.0414</v>
      </c>
      <c r="L814" s="60">
        <f>+K814-((K814*0.16*0.125)+(K814*(1-0.16)*0.26))</f>
        <v>0.03153024</v>
      </c>
      <c r="M814" s="60">
        <v>0</v>
      </c>
      <c r="N814" s="67" t="s">
        <v>248</v>
      </c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30"/>
      <c r="BQ814" s="30"/>
      <c r="BR814" s="30"/>
      <c r="BS814" s="30"/>
      <c r="BT814" s="30"/>
      <c r="BU814" s="30"/>
      <c r="BV814" s="30"/>
      <c r="BW814" s="30"/>
      <c r="BX814" s="30"/>
      <c r="BY814" s="30"/>
      <c r="BZ814" s="30"/>
      <c r="CA814" s="30"/>
      <c r="CB814" s="30"/>
      <c r="CC814" s="30"/>
      <c r="CD814" s="30"/>
      <c r="CE814" s="30"/>
      <c r="CF814" s="30"/>
      <c r="CG814" s="30"/>
      <c r="CH814" s="30"/>
      <c r="CI814" s="30"/>
      <c r="CJ814" s="30"/>
      <c r="CK814" s="30"/>
      <c r="CL814" s="30"/>
      <c r="CM814" s="30"/>
      <c r="CN814" s="30"/>
      <c r="CO814" s="30"/>
      <c r="CP814" s="30"/>
      <c r="CQ814" s="30"/>
      <c r="CR814" s="30"/>
      <c r="CS814" s="30"/>
      <c r="CT814" s="30"/>
      <c r="CU814" s="30"/>
      <c r="CV814" s="30"/>
      <c r="CW814" s="30"/>
      <c r="CX814" s="30"/>
      <c r="CY814" s="30"/>
      <c r="CZ814" s="30"/>
      <c r="DA814" s="30"/>
      <c r="DB814" s="30"/>
      <c r="DC814" s="30"/>
      <c r="DD814" s="30"/>
      <c r="DE814" s="30"/>
      <c r="DF814" s="30"/>
      <c r="DG814" s="30"/>
      <c r="DH814" s="30"/>
      <c r="DI814" s="30"/>
      <c r="DJ814" s="30"/>
      <c r="DK814" s="30"/>
      <c r="DL814" s="30"/>
      <c r="DM814" s="30"/>
      <c r="DN814" s="30"/>
      <c r="DO814" s="30"/>
      <c r="DP814" s="30"/>
      <c r="DQ814" s="30"/>
      <c r="DR814" s="30"/>
      <c r="DS814" s="30"/>
      <c r="DT814" s="30"/>
      <c r="DU814" s="30"/>
      <c r="DV814" s="30"/>
      <c r="DW814" s="30"/>
      <c r="DX814" s="30"/>
      <c r="DY814" s="30"/>
      <c r="DZ814" s="30"/>
      <c r="EA814" s="30"/>
      <c r="EB814" s="30"/>
      <c r="EC814" s="30"/>
      <c r="ED814" s="30"/>
      <c r="EE814" s="30"/>
      <c r="EF814" s="30"/>
      <c r="EG814" s="30"/>
      <c r="EH814" s="30"/>
      <c r="EI814" s="30"/>
      <c r="EJ814" s="30"/>
      <c r="EK814" s="30"/>
      <c r="EL814" s="30"/>
      <c r="EM814" s="30"/>
      <c r="EN814" s="30"/>
      <c r="EO814" s="30"/>
      <c r="EP814" s="30"/>
      <c r="EQ814" s="30"/>
      <c r="ER814" s="30"/>
      <c r="ES814" s="30"/>
      <c r="ET814" s="30"/>
      <c r="EU814" s="30"/>
      <c r="EV814" s="30"/>
      <c r="EW814" s="30"/>
      <c r="EX814" s="30"/>
      <c r="EY814" s="30"/>
      <c r="EZ814" s="30"/>
      <c r="FA814" s="30"/>
      <c r="FB814" s="30"/>
      <c r="FC814" s="30"/>
      <c r="FD814" s="30"/>
      <c r="FE814" s="30"/>
      <c r="FF814" s="30"/>
      <c r="FG814" s="30"/>
      <c r="FH814" s="30"/>
      <c r="FI814" s="30"/>
      <c r="FJ814" s="30"/>
      <c r="FK814" s="30"/>
      <c r="FL814" s="30"/>
      <c r="FM814" s="30"/>
      <c r="FN814" s="30"/>
      <c r="FO814" s="30"/>
      <c r="FP814" s="30"/>
      <c r="FQ814" s="30"/>
      <c r="FR814" s="30"/>
      <c r="FS814" s="30"/>
      <c r="FT814" s="30"/>
      <c r="FU814" s="30"/>
      <c r="FV814" s="30"/>
      <c r="FW814" s="30"/>
      <c r="FX814" s="30"/>
      <c r="FY814" s="30"/>
      <c r="FZ814" s="30"/>
      <c r="GA814" s="30"/>
      <c r="GB814" s="30"/>
      <c r="GC814" s="30"/>
      <c r="GD814" s="30"/>
      <c r="GE814" s="30"/>
      <c r="GF814" s="30"/>
      <c r="GG814" s="30"/>
      <c r="GH814" s="30"/>
      <c r="GI814" s="30"/>
      <c r="GJ814" s="30"/>
      <c r="GK814" s="30"/>
      <c r="GL814" s="30"/>
      <c r="GM814" s="30"/>
      <c r="GN814" s="30"/>
      <c r="GO814" s="30"/>
      <c r="GP814" s="30"/>
      <c r="GQ814" s="30"/>
      <c r="GR814" s="30"/>
      <c r="GS814" s="30"/>
      <c r="GT814" s="30"/>
      <c r="GU814" s="30"/>
      <c r="GV814" s="30"/>
      <c r="GW814" s="30"/>
      <c r="GX814" s="30"/>
      <c r="GY814" s="30"/>
      <c r="GZ814" s="30"/>
      <c r="HA814" s="30"/>
      <c r="HB814" s="30"/>
      <c r="HC814" s="30"/>
      <c r="HD814" s="30"/>
      <c r="HE814" s="30"/>
      <c r="HF814" s="30"/>
      <c r="HG814" s="30"/>
      <c r="HH814" s="30"/>
      <c r="HI814" s="30"/>
      <c r="HJ814" s="30"/>
      <c r="HK814" s="30"/>
      <c r="HL814" s="30"/>
      <c r="HM814" s="30"/>
      <c r="HN814" s="30"/>
      <c r="HO814" s="30"/>
      <c r="HP814" s="30"/>
      <c r="HQ814" s="30"/>
      <c r="HR814" s="30"/>
      <c r="HS814" s="30"/>
      <c r="HT814" s="30"/>
      <c r="HU814" s="30"/>
      <c r="HV814" s="30"/>
      <c r="HW814" s="30"/>
      <c r="HX814" s="30"/>
      <c r="HY814" s="30"/>
      <c r="HZ814" s="30"/>
      <c r="IA814" s="30"/>
      <c r="IB814" s="30"/>
      <c r="IC814" s="30"/>
      <c r="ID814" s="30"/>
      <c r="IE814" s="30"/>
      <c r="IF814" s="30"/>
      <c r="IG814" s="30"/>
      <c r="IH814" s="30"/>
      <c r="II814" s="30"/>
      <c r="IJ814" s="30"/>
      <c r="IK814" s="30"/>
      <c r="IL814" s="30"/>
      <c r="IM814" s="30"/>
      <c r="IN814" s="30"/>
      <c r="IO814" s="30"/>
      <c r="IP814" s="30"/>
      <c r="IQ814" s="30"/>
      <c r="IR814" s="30"/>
    </row>
    <row r="815" spans="1:252" ht="23.25" customHeight="1">
      <c r="A815" s="94"/>
      <c r="B815" s="12" t="s">
        <v>164</v>
      </c>
      <c r="C815" s="69" t="s">
        <v>469</v>
      </c>
      <c r="D815" s="12" t="s">
        <v>410</v>
      </c>
      <c r="E815" s="65">
        <v>44286</v>
      </c>
      <c r="F815" s="66">
        <v>44287</v>
      </c>
      <c r="G815" s="66">
        <v>44291</v>
      </c>
      <c r="H815" s="70">
        <v>0.03</v>
      </c>
      <c r="I815" s="60">
        <v>0.0388</v>
      </c>
      <c r="J815" s="113">
        <v>0</v>
      </c>
      <c r="K815" s="113">
        <v>0.0388</v>
      </c>
      <c r="L815" s="60">
        <f>+K815-((K815*0.16*0.125)+(K815*(1-0.16)*0.26))</f>
        <v>0.02955008</v>
      </c>
      <c r="M815" s="60">
        <v>0</v>
      </c>
      <c r="N815" s="67" t="s">
        <v>248</v>
      </c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30"/>
      <c r="BQ815" s="30"/>
      <c r="BR815" s="30"/>
      <c r="BS815" s="30"/>
      <c r="BT815" s="30"/>
      <c r="BU815" s="30"/>
      <c r="BV815" s="30"/>
      <c r="BW815" s="30"/>
      <c r="BX815" s="30"/>
      <c r="BY815" s="30"/>
      <c r="BZ815" s="30"/>
      <c r="CA815" s="30"/>
      <c r="CB815" s="30"/>
      <c r="CC815" s="30"/>
      <c r="CD815" s="30"/>
      <c r="CE815" s="30"/>
      <c r="CF815" s="30"/>
      <c r="CG815" s="30"/>
      <c r="CH815" s="30"/>
      <c r="CI815" s="30"/>
      <c r="CJ815" s="30"/>
      <c r="CK815" s="30"/>
      <c r="CL815" s="30"/>
      <c r="CM815" s="30"/>
      <c r="CN815" s="30"/>
      <c r="CO815" s="30"/>
      <c r="CP815" s="30"/>
      <c r="CQ815" s="30"/>
      <c r="CR815" s="30"/>
      <c r="CS815" s="30"/>
      <c r="CT815" s="30"/>
      <c r="CU815" s="30"/>
      <c r="CV815" s="30"/>
      <c r="CW815" s="30"/>
      <c r="CX815" s="30"/>
      <c r="CY815" s="30"/>
      <c r="CZ815" s="30"/>
      <c r="DA815" s="30"/>
      <c r="DB815" s="30"/>
      <c r="DC815" s="30"/>
      <c r="DD815" s="30"/>
      <c r="DE815" s="30"/>
      <c r="DF815" s="30"/>
      <c r="DG815" s="30"/>
      <c r="DH815" s="30"/>
      <c r="DI815" s="30"/>
      <c r="DJ815" s="30"/>
      <c r="DK815" s="30"/>
      <c r="DL815" s="30"/>
      <c r="DM815" s="30"/>
      <c r="DN815" s="30"/>
      <c r="DO815" s="30"/>
      <c r="DP815" s="30"/>
      <c r="DQ815" s="30"/>
      <c r="DR815" s="30"/>
      <c r="DS815" s="30"/>
      <c r="DT815" s="30"/>
      <c r="DU815" s="30"/>
      <c r="DV815" s="30"/>
      <c r="DW815" s="30"/>
      <c r="DX815" s="30"/>
      <c r="DY815" s="30"/>
      <c r="DZ815" s="30"/>
      <c r="EA815" s="30"/>
      <c r="EB815" s="30"/>
      <c r="EC815" s="30"/>
      <c r="ED815" s="30"/>
      <c r="EE815" s="30"/>
      <c r="EF815" s="30"/>
      <c r="EG815" s="30"/>
      <c r="EH815" s="30"/>
      <c r="EI815" s="30"/>
      <c r="EJ815" s="30"/>
      <c r="EK815" s="30"/>
      <c r="EL815" s="30"/>
      <c r="EM815" s="30"/>
      <c r="EN815" s="30"/>
      <c r="EO815" s="30"/>
      <c r="EP815" s="30"/>
      <c r="EQ815" s="30"/>
      <c r="ER815" s="30"/>
      <c r="ES815" s="30"/>
      <c r="ET815" s="30"/>
      <c r="EU815" s="30"/>
      <c r="EV815" s="30"/>
      <c r="EW815" s="30"/>
      <c r="EX815" s="30"/>
      <c r="EY815" s="30"/>
      <c r="EZ815" s="30"/>
      <c r="FA815" s="30"/>
      <c r="FB815" s="30"/>
      <c r="FC815" s="30"/>
      <c r="FD815" s="30"/>
      <c r="FE815" s="30"/>
      <c r="FF815" s="30"/>
      <c r="FG815" s="30"/>
      <c r="FH815" s="30"/>
      <c r="FI815" s="30"/>
      <c r="FJ815" s="30"/>
      <c r="FK815" s="30"/>
      <c r="FL815" s="30"/>
      <c r="FM815" s="30"/>
      <c r="FN815" s="30"/>
      <c r="FO815" s="30"/>
      <c r="FP815" s="30"/>
      <c r="FQ815" s="30"/>
      <c r="FR815" s="30"/>
      <c r="FS815" s="30"/>
      <c r="FT815" s="30"/>
      <c r="FU815" s="30"/>
      <c r="FV815" s="30"/>
      <c r="FW815" s="30"/>
      <c r="FX815" s="30"/>
      <c r="FY815" s="30"/>
      <c r="FZ815" s="30"/>
      <c r="GA815" s="30"/>
      <c r="GB815" s="30"/>
      <c r="GC815" s="30"/>
      <c r="GD815" s="30"/>
      <c r="GE815" s="30"/>
      <c r="GF815" s="30"/>
      <c r="GG815" s="30"/>
      <c r="GH815" s="30"/>
      <c r="GI815" s="30"/>
      <c r="GJ815" s="30"/>
      <c r="GK815" s="30"/>
      <c r="GL815" s="30"/>
      <c r="GM815" s="30"/>
      <c r="GN815" s="30"/>
      <c r="GO815" s="30"/>
      <c r="GP815" s="30"/>
      <c r="GQ815" s="30"/>
      <c r="GR815" s="30"/>
      <c r="GS815" s="30"/>
      <c r="GT815" s="30"/>
      <c r="GU815" s="30"/>
      <c r="GV815" s="30"/>
      <c r="GW815" s="30"/>
      <c r="GX815" s="30"/>
      <c r="GY815" s="30"/>
      <c r="GZ815" s="30"/>
      <c r="HA815" s="30"/>
      <c r="HB815" s="30"/>
      <c r="HC815" s="30"/>
      <c r="HD815" s="30"/>
      <c r="HE815" s="30"/>
      <c r="HF815" s="30"/>
      <c r="HG815" s="30"/>
      <c r="HH815" s="30"/>
      <c r="HI815" s="30"/>
      <c r="HJ815" s="30"/>
      <c r="HK815" s="30"/>
      <c r="HL815" s="30"/>
      <c r="HM815" s="30"/>
      <c r="HN815" s="30"/>
      <c r="HO815" s="30"/>
      <c r="HP815" s="30"/>
      <c r="HQ815" s="30"/>
      <c r="HR815" s="30"/>
      <c r="HS815" s="30"/>
      <c r="HT815" s="30"/>
      <c r="HU815" s="30"/>
      <c r="HV815" s="30"/>
      <c r="HW815" s="30"/>
      <c r="HX815" s="30"/>
      <c r="HY815" s="30"/>
      <c r="HZ815" s="30"/>
      <c r="IA815" s="30"/>
      <c r="IB815" s="30"/>
      <c r="IC815" s="30"/>
      <c r="ID815" s="30"/>
      <c r="IE815" s="30"/>
      <c r="IF815" s="30"/>
      <c r="IG815" s="30"/>
      <c r="IH815" s="30"/>
      <c r="II815" s="30"/>
      <c r="IJ815" s="30"/>
      <c r="IK815" s="30"/>
      <c r="IL815" s="30"/>
      <c r="IM815" s="30"/>
      <c r="IN815" s="30"/>
      <c r="IO815" s="30"/>
      <c r="IP815" s="30"/>
      <c r="IQ815" s="30"/>
      <c r="IR815" s="30"/>
    </row>
    <row r="816" spans="1:14" ht="23.25" customHeight="1">
      <c r="A816" s="10"/>
      <c r="B816" s="1" t="s">
        <v>132</v>
      </c>
      <c r="C816" s="79" t="s">
        <v>358</v>
      </c>
      <c r="D816" s="1" t="s">
        <v>410</v>
      </c>
      <c r="E816" s="83">
        <v>44312</v>
      </c>
      <c r="F816" s="80">
        <v>44313</v>
      </c>
      <c r="G816" s="80">
        <v>44316</v>
      </c>
      <c r="H816" s="132">
        <v>0.03</v>
      </c>
      <c r="I816" s="88">
        <v>0.0365</v>
      </c>
      <c r="J816" s="88">
        <v>0</v>
      </c>
      <c r="K816" s="88">
        <v>0.0365</v>
      </c>
      <c r="L816" s="76">
        <f>+K816-((K816*0.282*0.125)+(K816*(1-0.282)*0.26))</f>
        <v>0.028399555</v>
      </c>
      <c r="M816" s="76">
        <v>0</v>
      </c>
      <c r="N816" s="77" t="s">
        <v>249</v>
      </c>
    </row>
    <row r="817" spans="1:14" ht="23.25" customHeight="1">
      <c r="A817" s="10"/>
      <c r="B817" s="109" t="s">
        <v>227</v>
      </c>
      <c r="C817" s="110" t="s">
        <v>359</v>
      </c>
      <c r="D817" s="1" t="s">
        <v>410</v>
      </c>
      <c r="E817" s="205">
        <v>44312</v>
      </c>
      <c r="F817" s="205">
        <v>44313</v>
      </c>
      <c r="G817" s="205">
        <v>44316</v>
      </c>
      <c r="H817" s="132">
        <v>0.03</v>
      </c>
      <c r="I817" s="88">
        <v>0.0362</v>
      </c>
      <c r="J817" s="88">
        <v>0</v>
      </c>
      <c r="K817" s="88">
        <v>0.0362</v>
      </c>
      <c r="L817" s="76">
        <f>+K817-((K817*0.282*0.125)+(K817*(1-0.282)*0.26))</f>
        <v>0.028166134000000002</v>
      </c>
      <c r="M817" s="76">
        <v>0</v>
      </c>
      <c r="N817" s="109" t="s">
        <v>249</v>
      </c>
    </row>
    <row r="818" spans="1:14" ht="23.25" customHeight="1">
      <c r="A818" s="10"/>
      <c r="B818" s="1" t="s">
        <v>133</v>
      </c>
      <c r="C818" s="79" t="s">
        <v>476</v>
      </c>
      <c r="D818" s="1" t="s">
        <v>410</v>
      </c>
      <c r="E818" s="83">
        <v>44312</v>
      </c>
      <c r="F818" s="80">
        <v>44313</v>
      </c>
      <c r="G818" s="80">
        <v>44316</v>
      </c>
      <c r="H818" s="132">
        <v>0.035</v>
      </c>
      <c r="I818" s="88">
        <v>0.0352</v>
      </c>
      <c r="J818" s="88">
        <v>0</v>
      </c>
      <c r="K818" s="88">
        <v>0.0352</v>
      </c>
      <c r="L818" s="76">
        <f>+K818-((K818*0.003*0.125)+(K818*(1-0.003)*0.26))</f>
        <v>0.026062256</v>
      </c>
      <c r="M818" s="76">
        <v>0</v>
      </c>
      <c r="N818" s="77" t="s">
        <v>249</v>
      </c>
    </row>
    <row r="819" spans="1:14" ht="23.25" customHeight="1">
      <c r="A819" s="10"/>
      <c r="B819" s="1" t="s">
        <v>134</v>
      </c>
      <c r="C819" s="79" t="s">
        <v>374</v>
      </c>
      <c r="D819" s="1" t="s">
        <v>410</v>
      </c>
      <c r="E819" s="83">
        <v>44312</v>
      </c>
      <c r="F819" s="80">
        <v>44313</v>
      </c>
      <c r="G819" s="80">
        <v>44316</v>
      </c>
      <c r="H819" s="132">
        <v>0.04</v>
      </c>
      <c r="I819" s="88">
        <v>0.0483</v>
      </c>
      <c r="J819" s="88">
        <v>0</v>
      </c>
      <c r="K819" s="88">
        <v>0.0483</v>
      </c>
      <c r="L819" s="76">
        <f>+K819-((K819*0.248*0.125)+(K819*(1-0.248)*0.26))</f>
        <v>0.037359084</v>
      </c>
      <c r="M819" s="76">
        <v>0</v>
      </c>
      <c r="N819" s="77" t="s">
        <v>249</v>
      </c>
    </row>
    <row r="820" spans="1:14" ht="23.25" customHeight="1">
      <c r="A820" s="10"/>
      <c r="B820" s="109" t="s">
        <v>168</v>
      </c>
      <c r="C820" s="110" t="s">
        <v>376</v>
      </c>
      <c r="D820" s="1" t="s">
        <v>410</v>
      </c>
      <c r="E820" s="205">
        <v>44312</v>
      </c>
      <c r="F820" s="205">
        <v>44313</v>
      </c>
      <c r="G820" s="205">
        <v>44316</v>
      </c>
      <c r="H820" s="132">
        <v>0.04</v>
      </c>
      <c r="I820" s="88">
        <v>0.0448</v>
      </c>
      <c r="J820" s="88">
        <v>0</v>
      </c>
      <c r="K820" s="88">
        <v>0.0448</v>
      </c>
      <c r="L820" s="76">
        <f>+K820-((K820*0.248*0.125)+(K820*(1-0.248)*0.26))</f>
        <v>0.034651904</v>
      </c>
      <c r="M820" s="76">
        <v>0</v>
      </c>
      <c r="N820" s="109" t="s">
        <v>249</v>
      </c>
    </row>
    <row r="821" spans="1:14" ht="23.25" customHeight="1">
      <c r="A821" s="10"/>
      <c r="B821" s="1" t="s">
        <v>136</v>
      </c>
      <c r="C821" s="79" t="s">
        <v>388</v>
      </c>
      <c r="D821" s="1" t="s">
        <v>410</v>
      </c>
      <c r="E821" s="83">
        <v>44312</v>
      </c>
      <c r="F821" s="80">
        <v>44313</v>
      </c>
      <c r="G821" s="80">
        <v>44316</v>
      </c>
      <c r="H821" s="132">
        <v>0.03</v>
      </c>
      <c r="I821" s="88">
        <v>0.0361</v>
      </c>
      <c r="J821" s="88">
        <v>0</v>
      </c>
      <c r="K821" s="88">
        <v>0.0361</v>
      </c>
      <c r="L821" s="76">
        <f aca="true" t="shared" si="30" ref="L821:L826">+K821-((K821*0.078*0.125)+(K821*(1-0.078)*0.26))</f>
        <v>0.027094133</v>
      </c>
      <c r="M821" s="76">
        <v>0</v>
      </c>
      <c r="N821" s="77" t="s">
        <v>249</v>
      </c>
    </row>
    <row r="822" spans="1:14" ht="23.25" customHeight="1">
      <c r="A822" s="10"/>
      <c r="B822" s="1" t="s">
        <v>137</v>
      </c>
      <c r="C822" s="79" t="s">
        <v>389</v>
      </c>
      <c r="D822" s="1" t="s">
        <v>410</v>
      </c>
      <c r="E822" s="83">
        <v>44312</v>
      </c>
      <c r="F822" s="83">
        <v>44313</v>
      </c>
      <c r="G822" s="83">
        <v>44316</v>
      </c>
      <c r="H822" s="132">
        <v>0.0375</v>
      </c>
      <c r="I822" s="88">
        <v>0.0456</v>
      </c>
      <c r="J822" s="88">
        <v>0</v>
      </c>
      <c r="K822" s="88">
        <v>0.0456</v>
      </c>
      <c r="L822" s="76">
        <f t="shared" si="30"/>
        <v>0.034224168</v>
      </c>
      <c r="M822" s="76">
        <v>0</v>
      </c>
      <c r="N822" s="77" t="s">
        <v>249</v>
      </c>
    </row>
    <row r="823" spans="1:14" ht="23.25" customHeight="1">
      <c r="A823" s="10"/>
      <c r="B823" s="1" t="s">
        <v>135</v>
      </c>
      <c r="C823" s="79" t="s">
        <v>390</v>
      </c>
      <c r="D823" s="1" t="s">
        <v>410</v>
      </c>
      <c r="E823" s="83">
        <v>44312</v>
      </c>
      <c r="F823" s="80">
        <v>44313</v>
      </c>
      <c r="G823" s="80">
        <v>44316</v>
      </c>
      <c r="H823" s="132">
        <v>0.045</v>
      </c>
      <c r="I823" s="88">
        <v>0.052</v>
      </c>
      <c r="J823" s="88">
        <v>0</v>
      </c>
      <c r="K823" s="88">
        <v>0.052</v>
      </c>
      <c r="L823" s="76">
        <f t="shared" si="30"/>
        <v>0.039027559999999996</v>
      </c>
      <c r="M823" s="76">
        <v>0</v>
      </c>
      <c r="N823" s="77" t="s">
        <v>249</v>
      </c>
    </row>
    <row r="824" spans="1:14" ht="23.25" customHeight="1">
      <c r="A824" s="10"/>
      <c r="B824" s="109" t="s">
        <v>170</v>
      </c>
      <c r="C824" s="110" t="s">
        <v>391</v>
      </c>
      <c r="D824" s="1" t="s">
        <v>410</v>
      </c>
      <c r="E824" s="205">
        <v>44312</v>
      </c>
      <c r="F824" s="205">
        <v>44313</v>
      </c>
      <c r="G824" s="205">
        <v>44316</v>
      </c>
      <c r="H824" s="132">
        <v>0.03</v>
      </c>
      <c r="I824" s="88">
        <v>0.0358</v>
      </c>
      <c r="J824" s="88">
        <v>0</v>
      </c>
      <c r="K824" s="88">
        <v>0.0358</v>
      </c>
      <c r="L824" s="76">
        <f t="shared" si="30"/>
        <v>0.026868973999999997</v>
      </c>
      <c r="M824" s="76">
        <v>0</v>
      </c>
      <c r="N824" s="109" t="s">
        <v>249</v>
      </c>
    </row>
    <row r="825" spans="1:14" ht="23.25" customHeight="1">
      <c r="A825" s="10"/>
      <c r="B825" s="109" t="s">
        <v>171</v>
      </c>
      <c r="C825" s="110" t="s">
        <v>392</v>
      </c>
      <c r="D825" s="1" t="s">
        <v>410</v>
      </c>
      <c r="E825" s="205">
        <v>44312</v>
      </c>
      <c r="F825" s="205">
        <v>44313</v>
      </c>
      <c r="G825" s="205">
        <v>44316</v>
      </c>
      <c r="H825" s="132">
        <v>0.0375</v>
      </c>
      <c r="I825" s="88">
        <v>0.0451</v>
      </c>
      <c r="J825" s="88">
        <v>0</v>
      </c>
      <c r="K825" s="88">
        <v>0.0451</v>
      </c>
      <c r="L825" s="76">
        <f t="shared" si="30"/>
        <v>0.033848903</v>
      </c>
      <c r="M825" s="76">
        <v>0</v>
      </c>
      <c r="N825" s="109" t="s">
        <v>249</v>
      </c>
    </row>
    <row r="826" spans="1:14" ht="23.25" customHeight="1">
      <c r="A826" s="10"/>
      <c r="B826" s="109" t="s">
        <v>172</v>
      </c>
      <c r="C826" s="110" t="s">
        <v>393</v>
      </c>
      <c r="D826" s="1" t="s">
        <v>410</v>
      </c>
      <c r="E826" s="205">
        <v>44312</v>
      </c>
      <c r="F826" s="205">
        <v>44313</v>
      </c>
      <c r="G826" s="205">
        <v>44316</v>
      </c>
      <c r="H826" s="132">
        <v>0.045</v>
      </c>
      <c r="I826" s="88">
        <v>0.0514</v>
      </c>
      <c r="J826" s="88">
        <v>0</v>
      </c>
      <c r="K826" s="88">
        <v>0.0514</v>
      </c>
      <c r="L826" s="76">
        <f t="shared" si="30"/>
        <v>0.038577242</v>
      </c>
      <c r="M826" s="76">
        <v>0</v>
      </c>
      <c r="N826" s="109" t="s">
        <v>249</v>
      </c>
    </row>
    <row r="827" spans="1:14" ht="23.25" customHeight="1">
      <c r="A827" s="10"/>
      <c r="B827" s="109" t="s">
        <v>169</v>
      </c>
      <c r="C827" s="110" t="s">
        <v>400</v>
      </c>
      <c r="D827" s="1" t="s">
        <v>410</v>
      </c>
      <c r="E827" s="205">
        <v>44312</v>
      </c>
      <c r="F827" s="205">
        <v>44313</v>
      </c>
      <c r="G827" s="205">
        <v>44316</v>
      </c>
      <c r="H827" s="132">
        <v>0.055</v>
      </c>
      <c r="I827" s="88">
        <v>0.0589</v>
      </c>
      <c r="J827" s="88">
        <v>0</v>
      </c>
      <c r="K827" s="88">
        <v>0.0589</v>
      </c>
      <c r="L827" s="76">
        <f>+K827-((K827*0.167*0.125)+(K827*(1-0.167)*0.26))</f>
        <v>0.0449139005</v>
      </c>
      <c r="M827" s="76">
        <v>0</v>
      </c>
      <c r="N827" s="109" t="s">
        <v>249</v>
      </c>
    </row>
    <row r="828" spans="1:252" s="30" customFormat="1" ht="23.25" customHeight="1">
      <c r="A828" s="94"/>
      <c r="B828" s="12" t="s">
        <v>310</v>
      </c>
      <c r="C828" s="64" t="s">
        <v>424</v>
      </c>
      <c r="D828" s="12" t="s">
        <v>411</v>
      </c>
      <c r="E828" s="65">
        <v>44316</v>
      </c>
      <c r="F828" s="66">
        <v>44319</v>
      </c>
      <c r="G828" s="66">
        <v>44322</v>
      </c>
      <c r="H828" s="70">
        <v>0.05</v>
      </c>
      <c r="I828" s="113" t="s">
        <v>698</v>
      </c>
      <c r="J828" s="113">
        <v>0</v>
      </c>
      <c r="K828" s="113">
        <v>0.0205</v>
      </c>
      <c r="L828" s="60">
        <f>+K828-((K828*0.036*0.125)+(K828*(1-0.036)*0.26))</f>
        <v>0.01526963</v>
      </c>
      <c r="M828" s="60">
        <f aca="true" t="shared" si="31" ref="M828:M859">J828+L828</f>
        <v>0.01526963</v>
      </c>
      <c r="N828" s="67" t="s">
        <v>251</v>
      </c>
      <c r="IR828" s="94"/>
    </row>
    <row r="829" spans="1:252" s="30" customFormat="1" ht="23.25" customHeight="1">
      <c r="A829" s="94"/>
      <c r="B829" s="12" t="s">
        <v>188</v>
      </c>
      <c r="C829" s="69" t="s">
        <v>339</v>
      </c>
      <c r="D829" s="12" t="s">
        <v>411</v>
      </c>
      <c r="E829" s="65">
        <v>44316</v>
      </c>
      <c r="F829" s="66">
        <v>44319</v>
      </c>
      <c r="G829" s="66">
        <v>44322</v>
      </c>
      <c r="H829" s="70">
        <v>0.05</v>
      </c>
      <c r="I829" s="113" t="s">
        <v>696</v>
      </c>
      <c r="J829" s="113">
        <v>0</v>
      </c>
      <c r="K829" s="113">
        <v>0.3588</v>
      </c>
      <c r="L829" s="60">
        <f>+K829-((K829*0.036*0.125)+(K829*(1-0.036)*0.26))</f>
        <v>0.267255768</v>
      </c>
      <c r="M829" s="60">
        <f t="shared" si="31"/>
        <v>0.267255768</v>
      </c>
      <c r="N829" s="67" t="s">
        <v>251</v>
      </c>
      <c r="IR829" s="94"/>
    </row>
    <row r="830" spans="1:252" s="30" customFormat="1" ht="23.25" customHeight="1">
      <c r="A830" s="94"/>
      <c r="B830" s="12" t="s">
        <v>196</v>
      </c>
      <c r="C830" s="74" t="s">
        <v>340</v>
      </c>
      <c r="D830" s="73" t="s">
        <v>411</v>
      </c>
      <c r="E830" s="65">
        <v>44316</v>
      </c>
      <c r="F830" s="66">
        <v>44319</v>
      </c>
      <c r="G830" s="66">
        <v>44322</v>
      </c>
      <c r="H830" s="70">
        <v>0.05</v>
      </c>
      <c r="I830" s="113" t="s">
        <v>697</v>
      </c>
      <c r="J830" s="113">
        <v>0</v>
      </c>
      <c r="K830" s="113">
        <v>0.3726</v>
      </c>
      <c r="L830" s="60">
        <f>+K830-((K830*0.036*0.125)+(K830*(1-0.036)*0.26))</f>
        <v>0.277534836</v>
      </c>
      <c r="M830" s="60">
        <f t="shared" si="31"/>
        <v>0.277534836</v>
      </c>
      <c r="N830" s="67" t="s">
        <v>251</v>
      </c>
      <c r="IR830" s="94"/>
    </row>
    <row r="831" spans="1:14" s="30" customFormat="1" ht="23.25" customHeight="1">
      <c r="A831" s="94"/>
      <c r="B831" s="12" t="s">
        <v>191</v>
      </c>
      <c r="C831" s="69" t="s">
        <v>346</v>
      </c>
      <c r="D831" s="12" t="s">
        <v>411</v>
      </c>
      <c r="E831" s="65">
        <v>44316</v>
      </c>
      <c r="F831" s="66">
        <v>44319</v>
      </c>
      <c r="G831" s="66">
        <v>44322</v>
      </c>
      <c r="H831" s="67">
        <v>0.035</v>
      </c>
      <c r="I831" s="113">
        <v>0.0141</v>
      </c>
      <c r="J831" s="113">
        <v>0</v>
      </c>
      <c r="K831" s="113">
        <v>0.0141</v>
      </c>
      <c r="L831" s="60">
        <f>+K831-((K831*0.713*0.125)+(K831*(1-0.713)*0.26))</f>
        <v>0.0117911955</v>
      </c>
      <c r="M831" s="60">
        <f t="shared" si="31"/>
        <v>0.0117911955</v>
      </c>
      <c r="N831" s="67" t="s">
        <v>251</v>
      </c>
    </row>
    <row r="832" spans="1:14" s="30" customFormat="1" ht="23.25" customHeight="1">
      <c r="A832" s="94"/>
      <c r="B832" s="12" t="s">
        <v>199</v>
      </c>
      <c r="C832" s="74" t="s">
        <v>347</v>
      </c>
      <c r="D832" s="73" t="s">
        <v>411</v>
      </c>
      <c r="E832" s="65">
        <v>44316</v>
      </c>
      <c r="F832" s="66">
        <v>44319</v>
      </c>
      <c r="G832" s="66">
        <v>44322</v>
      </c>
      <c r="H832" s="67">
        <v>0.035</v>
      </c>
      <c r="I832" s="113">
        <v>0.014</v>
      </c>
      <c r="J832" s="113">
        <v>0</v>
      </c>
      <c r="K832" s="113">
        <v>0.014</v>
      </c>
      <c r="L832" s="60">
        <f>+K832-((K832*0.713*0.125)+(K832*(1-0.713)*0.26))</f>
        <v>0.01170757</v>
      </c>
      <c r="M832" s="60">
        <f t="shared" si="31"/>
        <v>0.01170757</v>
      </c>
      <c r="N832" s="67" t="s">
        <v>251</v>
      </c>
    </row>
    <row r="833" spans="1:14" s="30" customFormat="1" ht="23.25" customHeight="1">
      <c r="A833" s="94"/>
      <c r="B833" s="12" t="s">
        <v>306</v>
      </c>
      <c r="C833" s="64" t="s">
        <v>430</v>
      </c>
      <c r="D833" s="12" t="s">
        <v>411</v>
      </c>
      <c r="E833" s="65">
        <v>44316</v>
      </c>
      <c r="F833" s="66">
        <v>44319</v>
      </c>
      <c r="G833" s="66">
        <v>44322</v>
      </c>
      <c r="H833" s="70">
        <v>0.025</v>
      </c>
      <c r="I833" s="113">
        <v>0.0103</v>
      </c>
      <c r="J833" s="113">
        <v>0</v>
      </c>
      <c r="K833" s="113">
        <v>0.0103</v>
      </c>
      <c r="L833" s="60">
        <f>+K833-((K833*0.0002*0.125)+(K833*(1-0.0002)*0.26))</f>
        <v>0.007622278099999999</v>
      </c>
      <c r="M833" s="60">
        <f t="shared" si="31"/>
        <v>0.007622278099999999</v>
      </c>
      <c r="N833" s="67" t="s">
        <v>251</v>
      </c>
    </row>
    <row r="834" spans="1:14" s="30" customFormat="1" ht="23.25" customHeight="1">
      <c r="A834" s="94"/>
      <c r="B834" s="12" t="s">
        <v>184</v>
      </c>
      <c r="C834" s="69" t="s">
        <v>354</v>
      </c>
      <c r="D834" s="12" t="s">
        <v>411</v>
      </c>
      <c r="E834" s="65">
        <v>44316</v>
      </c>
      <c r="F834" s="66">
        <v>44319</v>
      </c>
      <c r="G834" s="66">
        <v>44322</v>
      </c>
      <c r="H834" s="70">
        <v>0.025</v>
      </c>
      <c r="I834" s="113">
        <v>0.2075</v>
      </c>
      <c r="J834" s="113">
        <v>0</v>
      </c>
      <c r="K834" s="113">
        <v>0.2075</v>
      </c>
      <c r="L834" s="60">
        <f>+K834-((K834*0.0002*0.125)+(K834*(1-0.0002)*0.26))</f>
        <v>0.1535556025</v>
      </c>
      <c r="M834" s="60">
        <f t="shared" si="31"/>
        <v>0.1535556025</v>
      </c>
      <c r="N834" s="67" t="s">
        <v>251</v>
      </c>
    </row>
    <row r="835" spans="1:14" s="30" customFormat="1" ht="23.25" customHeight="1">
      <c r="A835" s="94"/>
      <c r="B835" s="12" t="s">
        <v>192</v>
      </c>
      <c r="C835" s="74" t="s">
        <v>355</v>
      </c>
      <c r="D835" s="73" t="s">
        <v>411</v>
      </c>
      <c r="E835" s="65">
        <v>44316</v>
      </c>
      <c r="F835" s="66">
        <v>44319</v>
      </c>
      <c r="G835" s="66">
        <v>44322</v>
      </c>
      <c r="H835" s="70">
        <v>0.025</v>
      </c>
      <c r="I835" s="113">
        <v>0.2096</v>
      </c>
      <c r="J835" s="113">
        <v>0</v>
      </c>
      <c r="K835" s="113">
        <v>0.2096</v>
      </c>
      <c r="L835" s="60">
        <f>+K835-((K835*0.0002*0.125)+(K835*(1-0.0002)*0.26))</f>
        <v>0.1551096592</v>
      </c>
      <c r="M835" s="60">
        <f t="shared" si="31"/>
        <v>0.1551096592</v>
      </c>
      <c r="N835" s="67" t="s">
        <v>251</v>
      </c>
    </row>
    <row r="836" spans="1:14" s="30" customFormat="1" ht="23.25" customHeight="1">
      <c r="A836" s="94"/>
      <c r="B836" s="12" t="s">
        <v>311</v>
      </c>
      <c r="C836" s="64" t="s">
        <v>425</v>
      </c>
      <c r="D836" s="12" t="s">
        <v>411</v>
      </c>
      <c r="E836" s="65">
        <v>44316</v>
      </c>
      <c r="F836" s="66">
        <v>44319</v>
      </c>
      <c r="G836" s="66">
        <v>44322</v>
      </c>
      <c r="H836" s="70">
        <v>0.015</v>
      </c>
      <c r="I836" s="113">
        <v>0.0061</v>
      </c>
      <c r="J836" s="113">
        <v>0</v>
      </c>
      <c r="K836" s="113">
        <v>0.0061</v>
      </c>
      <c r="L836" s="60">
        <f>+K836-((K836*0.0000001*0.125)+(K836*(1-0.0000001)*0.26))</f>
        <v>0.00451400008235</v>
      </c>
      <c r="M836" s="60">
        <f t="shared" si="31"/>
        <v>0.00451400008235</v>
      </c>
      <c r="N836" s="67" t="s">
        <v>251</v>
      </c>
    </row>
    <row r="837" spans="1:14" s="30" customFormat="1" ht="23.25" customHeight="1">
      <c r="A837" s="94"/>
      <c r="B837" s="12" t="s">
        <v>189</v>
      </c>
      <c r="C837" s="69" t="s">
        <v>356</v>
      </c>
      <c r="D837" s="12" t="s">
        <v>411</v>
      </c>
      <c r="E837" s="65">
        <v>44316</v>
      </c>
      <c r="F837" s="66">
        <v>44319</v>
      </c>
      <c r="G837" s="66">
        <v>44322</v>
      </c>
      <c r="H837" s="70">
        <v>0.015</v>
      </c>
      <c r="I837" s="113">
        <v>0.1124</v>
      </c>
      <c r="J837" s="113">
        <v>0</v>
      </c>
      <c r="K837" s="113">
        <v>0.1124</v>
      </c>
      <c r="L837" s="60">
        <f>+K837-((K837*0.0000001*0.125)+(K837*(1-0.0000001)*0.26))</f>
        <v>0.0831760015174</v>
      </c>
      <c r="M837" s="60">
        <f t="shared" si="31"/>
        <v>0.0831760015174</v>
      </c>
      <c r="N837" s="67" t="s">
        <v>251</v>
      </c>
    </row>
    <row r="838" spans="1:14" s="30" customFormat="1" ht="23.25" customHeight="1">
      <c r="A838" s="94"/>
      <c r="B838" s="12" t="s">
        <v>197</v>
      </c>
      <c r="C838" s="74" t="s">
        <v>357</v>
      </c>
      <c r="D838" s="73" t="s">
        <v>411</v>
      </c>
      <c r="E838" s="65">
        <v>44316</v>
      </c>
      <c r="F838" s="66">
        <v>44319</v>
      </c>
      <c r="G838" s="66">
        <v>44322</v>
      </c>
      <c r="H838" s="70">
        <v>0.015</v>
      </c>
      <c r="I838" s="113">
        <v>0.1145</v>
      </c>
      <c r="J838" s="113">
        <v>0</v>
      </c>
      <c r="K838" s="113">
        <v>0.1145</v>
      </c>
      <c r="L838" s="60">
        <f>+K838-((K838*0.0000001*0.125)+(K838*(1-0.0000001)*0.26))</f>
        <v>0.08473000154575</v>
      </c>
      <c r="M838" s="60">
        <f t="shared" si="31"/>
        <v>0.08473000154575</v>
      </c>
      <c r="N838" s="67" t="s">
        <v>251</v>
      </c>
    </row>
    <row r="839" spans="1:14" s="30" customFormat="1" ht="23.25" customHeight="1">
      <c r="A839" s="94"/>
      <c r="B839" s="12" t="s">
        <v>308</v>
      </c>
      <c r="C839" s="64" t="s">
        <v>426</v>
      </c>
      <c r="D839" s="12" t="s">
        <v>411</v>
      </c>
      <c r="E839" s="65">
        <v>44316</v>
      </c>
      <c r="F839" s="66">
        <v>44319</v>
      </c>
      <c r="G839" s="66">
        <v>44322</v>
      </c>
      <c r="H839" s="70">
        <v>0.015</v>
      </c>
      <c r="I839" s="113" t="s">
        <v>701</v>
      </c>
      <c r="J839" s="113">
        <v>0</v>
      </c>
      <c r="K839" s="113">
        <v>0.0062</v>
      </c>
      <c r="L839" s="60">
        <f>+K839-((K839*0.458*0.125)+(K839*(1-0.458)*0.26))</f>
        <v>0.004971346</v>
      </c>
      <c r="M839" s="60">
        <f t="shared" si="31"/>
        <v>0.004971346</v>
      </c>
      <c r="N839" s="67" t="s">
        <v>251</v>
      </c>
    </row>
    <row r="840" spans="1:14" s="30" customFormat="1" ht="23.25" customHeight="1">
      <c r="A840" s="94"/>
      <c r="B840" s="12" t="s">
        <v>186</v>
      </c>
      <c r="C840" s="69" t="s">
        <v>363</v>
      </c>
      <c r="D840" s="12" t="s">
        <v>411</v>
      </c>
      <c r="E840" s="65">
        <v>44316</v>
      </c>
      <c r="F840" s="66">
        <v>44319</v>
      </c>
      <c r="G840" s="66">
        <v>44322</v>
      </c>
      <c r="H840" s="70">
        <v>0.015</v>
      </c>
      <c r="I840" s="113" t="s">
        <v>699</v>
      </c>
      <c r="J840" s="113">
        <v>0</v>
      </c>
      <c r="K840" s="113">
        <v>0.1137</v>
      </c>
      <c r="L840" s="60">
        <f>+K840-((K840*0.458*0.125)+(K840*(1-0.458)*0.26))</f>
        <v>0.09116807099999999</v>
      </c>
      <c r="M840" s="60">
        <f t="shared" si="31"/>
        <v>0.09116807099999999</v>
      </c>
      <c r="N840" s="67" t="s">
        <v>251</v>
      </c>
    </row>
    <row r="841" spans="1:14" s="30" customFormat="1" ht="23.25" customHeight="1">
      <c r="A841" s="94"/>
      <c r="B841" s="12" t="s">
        <v>194</v>
      </c>
      <c r="C841" s="74" t="s">
        <v>364</v>
      </c>
      <c r="D841" s="73" t="s">
        <v>411</v>
      </c>
      <c r="E841" s="65">
        <v>44316</v>
      </c>
      <c r="F841" s="66">
        <v>44319</v>
      </c>
      <c r="G841" s="66">
        <v>44322</v>
      </c>
      <c r="H841" s="70">
        <v>0.015</v>
      </c>
      <c r="I841" s="113" t="s">
        <v>700</v>
      </c>
      <c r="J841" s="113">
        <v>0</v>
      </c>
      <c r="K841" s="113">
        <v>0.1172</v>
      </c>
      <c r="L841" s="60">
        <f>+K841-((K841*0.458*0.125)+(K841*(1-0.458)*0.26))</f>
        <v>0.093974476</v>
      </c>
      <c r="M841" s="60">
        <f t="shared" si="31"/>
        <v>0.093974476</v>
      </c>
      <c r="N841" s="67" t="s">
        <v>251</v>
      </c>
    </row>
    <row r="842" spans="1:14" s="30" customFormat="1" ht="23.25" customHeight="1">
      <c r="A842" s="94"/>
      <c r="B842" s="12" t="s">
        <v>307</v>
      </c>
      <c r="C842" s="64" t="s">
        <v>420</v>
      </c>
      <c r="D842" s="12" t="s">
        <v>411</v>
      </c>
      <c r="E842" s="65">
        <v>44316</v>
      </c>
      <c r="F842" s="66">
        <v>44319</v>
      </c>
      <c r="G842" s="66">
        <v>44322</v>
      </c>
      <c r="H842" s="70">
        <v>0.015</v>
      </c>
      <c r="I842" s="113">
        <v>0.0064</v>
      </c>
      <c r="J842" s="113">
        <v>0</v>
      </c>
      <c r="K842" s="113">
        <v>0.0064</v>
      </c>
      <c r="L842" s="60">
        <f>+K842-((K842*0.603*0.125)+(K842*(1-0.603)*0.26))</f>
        <v>0.005256992</v>
      </c>
      <c r="M842" s="60">
        <f t="shared" si="31"/>
        <v>0.005256992</v>
      </c>
      <c r="N842" s="67" t="s">
        <v>251</v>
      </c>
    </row>
    <row r="843" spans="1:14" s="30" customFormat="1" ht="23.25" customHeight="1">
      <c r="A843" s="94"/>
      <c r="B843" s="12" t="s">
        <v>185</v>
      </c>
      <c r="C843" s="69" t="s">
        <v>366</v>
      </c>
      <c r="D843" s="12" t="s">
        <v>411</v>
      </c>
      <c r="E843" s="65">
        <v>44316</v>
      </c>
      <c r="F843" s="66">
        <v>44319</v>
      </c>
      <c r="G843" s="66">
        <v>44322</v>
      </c>
      <c r="H843" s="70">
        <v>0.015</v>
      </c>
      <c r="I843" s="113">
        <v>0.1067</v>
      </c>
      <c r="J843" s="113">
        <v>0</v>
      </c>
      <c r="K843" s="113">
        <v>0.1067</v>
      </c>
      <c r="L843" s="60">
        <f>+K843-((K843*0.603*0.125)+(K843*(1-0.603)*0.26))</f>
        <v>0.0876439135</v>
      </c>
      <c r="M843" s="60">
        <f t="shared" si="31"/>
        <v>0.0876439135</v>
      </c>
      <c r="N843" s="67" t="s">
        <v>251</v>
      </c>
    </row>
    <row r="844" spans="1:14" s="30" customFormat="1" ht="23.25" customHeight="1">
      <c r="A844" s="94"/>
      <c r="B844" s="12" t="s">
        <v>193</v>
      </c>
      <c r="C844" s="74" t="s">
        <v>367</v>
      </c>
      <c r="D844" s="73" t="s">
        <v>411</v>
      </c>
      <c r="E844" s="65">
        <v>44316</v>
      </c>
      <c r="F844" s="66">
        <v>44319</v>
      </c>
      <c r="G844" s="66">
        <v>44322</v>
      </c>
      <c r="H844" s="70">
        <v>0.015</v>
      </c>
      <c r="I844" s="113">
        <v>0.1042</v>
      </c>
      <c r="J844" s="113">
        <v>0</v>
      </c>
      <c r="K844" s="113">
        <v>0.1042</v>
      </c>
      <c r="L844" s="60">
        <f>+K844-((K844*0.603*0.125)+(K844*(1-0.603)*0.26))</f>
        <v>0.085590401</v>
      </c>
      <c r="M844" s="60">
        <f t="shared" si="31"/>
        <v>0.085590401</v>
      </c>
      <c r="N844" s="67" t="s">
        <v>251</v>
      </c>
    </row>
    <row r="845" spans="1:14" s="30" customFormat="1" ht="23.25" customHeight="1">
      <c r="A845" s="94"/>
      <c r="B845" s="12" t="s">
        <v>309</v>
      </c>
      <c r="C845" s="64" t="s">
        <v>427</v>
      </c>
      <c r="D845" s="12" t="s">
        <v>411</v>
      </c>
      <c r="E845" s="65">
        <v>44316</v>
      </c>
      <c r="F845" s="66">
        <v>44319</v>
      </c>
      <c r="G845" s="66">
        <v>44322</v>
      </c>
      <c r="H845" s="70">
        <v>0.015</v>
      </c>
      <c r="I845" s="113">
        <v>0.0064</v>
      </c>
      <c r="J845" s="113">
        <v>0</v>
      </c>
      <c r="K845" s="113">
        <v>0.0064</v>
      </c>
      <c r="L845" s="60">
        <f>+K845-((K845*0.001*0.125)+(K845*(1-0.001)*0.26))</f>
        <v>0.004736864</v>
      </c>
      <c r="M845" s="60">
        <f t="shared" si="31"/>
        <v>0.004736864</v>
      </c>
      <c r="N845" s="67" t="s">
        <v>251</v>
      </c>
    </row>
    <row r="846" spans="1:14" s="30" customFormat="1" ht="23.25" customHeight="1">
      <c r="A846" s="94"/>
      <c r="B846" s="12" t="s">
        <v>187</v>
      </c>
      <c r="C846" s="69" t="s">
        <v>368</v>
      </c>
      <c r="D846" s="12" t="s">
        <v>411</v>
      </c>
      <c r="E846" s="65">
        <v>44316</v>
      </c>
      <c r="F846" s="66">
        <v>44319</v>
      </c>
      <c r="G846" s="66">
        <v>44322</v>
      </c>
      <c r="H846" s="70">
        <v>0.015</v>
      </c>
      <c r="I846" s="113">
        <v>0.1123</v>
      </c>
      <c r="J846" s="113">
        <v>0</v>
      </c>
      <c r="K846" s="113">
        <v>0.1123</v>
      </c>
      <c r="L846" s="60">
        <f>+K846-((K846*0.001*0.125)+(K846*(1-0.001)*0.26))</f>
        <v>0.0831171605</v>
      </c>
      <c r="M846" s="60">
        <f t="shared" si="31"/>
        <v>0.0831171605</v>
      </c>
      <c r="N846" s="67" t="s">
        <v>251</v>
      </c>
    </row>
    <row r="847" spans="1:14" s="30" customFormat="1" ht="23.25" customHeight="1">
      <c r="A847" s="94"/>
      <c r="B847" s="12" t="s">
        <v>195</v>
      </c>
      <c r="C847" s="74" t="s">
        <v>369</v>
      </c>
      <c r="D847" s="73" t="s">
        <v>411</v>
      </c>
      <c r="E847" s="65">
        <v>44316</v>
      </c>
      <c r="F847" s="66">
        <v>44319</v>
      </c>
      <c r="G847" s="66">
        <v>44322</v>
      </c>
      <c r="H847" s="70">
        <v>0.015</v>
      </c>
      <c r="I847" s="113">
        <v>0.1161</v>
      </c>
      <c r="J847" s="113">
        <v>0</v>
      </c>
      <c r="K847" s="113">
        <v>0.1161</v>
      </c>
      <c r="L847" s="60">
        <f>+K847-((K847*0.001*0.125)+(K847*(1-0.001)*0.26))</f>
        <v>0.0859296735</v>
      </c>
      <c r="M847" s="60">
        <f t="shared" si="31"/>
        <v>0.0859296735</v>
      </c>
      <c r="N847" s="67" t="s">
        <v>251</v>
      </c>
    </row>
    <row r="848" spans="1:14" s="30" customFormat="1" ht="23.25" customHeight="1">
      <c r="A848" s="94"/>
      <c r="B848" s="12" t="s">
        <v>312</v>
      </c>
      <c r="C848" s="64" t="s">
        <v>428</v>
      </c>
      <c r="D848" s="12" t="s">
        <v>411</v>
      </c>
      <c r="E848" s="65">
        <v>44316</v>
      </c>
      <c r="F848" s="66">
        <v>44319</v>
      </c>
      <c r="G848" s="66">
        <v>44322</v>
      </c>
      <c r="H848" s="70">
        <v>0.035</v>
      </c>
      <c r="I848" s="113">
        <v>0.0135</v>
      </c>
      <c r="J848" s="113">
        <v>0</v>
      </c>
      <c r="K848" s="113">
        <v>0.0135</v>
      </c>
      <c r="L848" s="60">
        <f>+K848-((K848*0.0075*0.125)+(K848*(1-0.0075)*0.26))</f>
        <v>0.01000366875</v>
      </c>
      <c r="M848" s="60">
        <f t="shared" si="31"/>
        <v>0.01000366875</v>
      </c>
      <c r="N848" s="67" t="s">
        <v>251</v>
      </c>
    </row>
    <row r="849" spans="1:14" s="30" customFormat="1" ht="23.25" customHeight="1">
      <c r="A849" s="94"/>
      <c r="B849" s="12" t="s">
        <v>190</v>
      </c>
      <c r="C849" s="69" t="s">
        <v>370</v>
      </c>
      <c r="D849" s="12" t="s">
        <v>411</v>
      </c>
      <c r="E849" s="65">
        <v>44316</v>
      </c>
      <c r="F849" s="66">
        <v>44319</v>
      </c>
      <c r="G849" s="66">
        <v>44322</v>
      </c>
      <c r="H849" s="70">
        <v>0.035</v>
      </c>
      <c r="I849" s="113">
        <v>0.2555</v>
      </c>
      <c r="J849" s="113">
        <v>0</v>
      </c>
      <c r="K849" s="113">
        <v>0.2555</v>
      </c>
      <c r="L849" s="60">
        <f>+K849-((K849*0.0075*0.125)+(K849*(1-0.0075)*0.26))</f>
        <v>0.18932869375</v>
      </c>
      <c r="M849" s="60">
        <f t="shared" si="31"/>
        <v>0.18932869375</v>
      </c>
      <c r="N849" s="67" t="s">
        <v>251</v>
      </c>
    </row>
    <row r="850" spans="1:14" s="30" customFormat="1" ht="23.25" customHeight="1">
      <c r="A850" s="94"/>
      <c r="B850" s="12" t="s">
        <v>198</v>
      </c>
      <c r="C850" s="74" t="s">
        <v>371</v>
      </c>
      <c r="D850" s="73" t="s">
        <v>411</v>
      </c>
      <c r="E850" s="65">
        <v>44316</v>
      </c>
      <c r="F850" s="66">
        <v>44319</v>
      </c>
      <c r="G850" s="66">
        <v>44322</v>
      </c>
      <c r="H850" s="70">
        <v>0.035</v>
      </c>
      <c r="I850" s="113">
        <v>0.2564</v>
      </c>
      <c r="J850" s="113">
        <v>0</v>
      </c>
      <c r="K850" s="113">
        <v>0.2564</v>
      </c>
      <c r="L850" s="60">
        <f>+K850-((K850*0.0075*0.125)+(K850*(1-0.0075)*0.26))</f>
        <v>0.189995605</v>
      </c>
      <c r="M850" s="60">
        <f t="shared" si="31"/>
        <v>0.189995605</v>
      </c>
      <c r="N850" s="67" t="s">
        <v>251</v>
      </c>
    </row>
    <row r="851" spans="1:14" s="30" customFormat="1" ht="23.25" customHeight="1">
      <c r="A851" s="94"/>
      <c r="B851" s="12" t="s">
        <v>516</v>
      </c>
      <c r="C851" s="64" t="s">
        <v>518</v>
      </c>
      <c r="D851" s="12" t="s">
        <v>411</v>
      </c>
      <c r="E851" s="65">
        <v>44316</v>
      </c>
      <c r="F851" s="66">
        <v>44319</v>
      </c>
      <c r="G851" s="66">
        <v>44322</v>
      </c>
      <c r="H851" s="70">
        <v>0.02</v>
      </c>
      <c r="I851" s="113">
        <v>0.1347</v>
      </c>
      <c r="J851" s="113">
        <v>0</v>
      </c>
      <c r="K851" s="113">
        <v>0.1347</v>
      </c>
      <c r="L851" s="60">
        <f>+K851-((K851*0.505*0.125)+(K851*(1-0.505)*0.26))</f>
        <v>0.10886117249999999</v>
      </c>
      <c r="M851" s="60">
        <f t="shared" si="31"/>
        <v>0.10886117249999999</v>
      </c>
      <c r="N851" s="67" t="s">
        <v>251</v>
      </c>
    </row>
    <row r="852" spans="1:14" s="30" customFormat="1" ht="23.25" customHeight="1">
      <c r="A852" s="94"/>
      <c r="B852" s="12" t="s">
        <v>517</v>
      </c>
      <c r="C852" s="64" t="s">
        <v>519</v>
      </c>
      <c r="D852" s="12" t="s">
        <v>411</v>
      </c>
      <c r="E852" s="65">
        <v>44316</v>
      </c>
      <c r="F852" s="66">
        <v>44319</v>
      </c>
      <c r="G852" s="66">
        <v>44322</v>
      </c>
      <c r="H852" s="70">
        <v>0.02</v>
      </c>
      <c r="I852" s="113">
        <v>0.1356</v>
      </c>
      <c r="J852" s="113">
        <v>0</v>
      </c>
      <c r="K852" s="113">
        <v>0.1356</v>
      </c>
      <c r="L852" s="60">
        <f>+K852-((K852*0.505*0.125)+(K852*(1-0.505)*0.26))</f>
        <v>0.10958852999999999</v>
      </c>
      <c r="M852" s="60">
        <f t="shared" si="31"/>
        <v>0.10958852999999999</v>
      </c>
      <c r="N852" s="67" t="s">
        <v>251</v>
      </c>
    </row>
    <row r="853" spans="1:14" s="30" customFormat="1" ht="23.25" customHeight="1">
      <c r="A853" s="94"/>
      <c r="B853" s="12" t="s">
        <v>313</v>
      </c>
      <c r="C853" s="64" t="s">
        <v>429</v>
      </c>
      <c r="D853" s="12" t="s">
        <v>411</v>
      </c>
      <c r="E853" s="65">
        <v>44316</v>
      </c>
      <c r="F853" s="66">
        <v>44319</v>
      </c>
      <c r="G853" s="66">
        <v>44322</v>
      </c>
      <c r="H853" s="70">
        <v>0.01</v>
      </c>
      <c r="I853" s="113">
        <v>0.0043</v>
      </c>
      <c r="J853" s="113">
        <v>0</v>
      </c>
      <c r="K853" s="113">
        <v>0.0043</v>
      </c>
      <c r="L853" s="60">
        <f>+K853-((K853*0.135*0.125)+(K853*(1-0.135)*0.26))</f>
        <v>0.0032603675</v>
      </c>
      <c r="M853" s="60">
        <f t="shared" si="31"/>
        <v>0.0032603675</v>
      </c>
      <c r="N853" s="67" t="s">
        <v>251</v>
      </c>
    </row>
    <row r="854" spans="1:252" s="30" customFormat="1" ht="23.25" customHeight="1">
      <c r="A854" s="94"/>
      <c r="B854" s="12" t="s">
        <v>310</v>
      </c>
      <c r="C854" s="64" t="s">
        <v>424</v>
      </c>
      <c r="D854" s="12" t="s">
        <v>411</v>
      </c>
      <c r="E854" s="65">
        <v>44347</v>
      </c>
      <c r="F854" s="66">
        <v>44348</v>
      </c>
      <c r="G854" s="66">
        <v>44351</v>
      </c>
      <c r="H854" s="70">
        <v>0.05</v>
      </c>
      <c r="I854" s="113">
        <v>0.0205</v>
      </c>
      <c r="J854" s="113">
        <v>0</v>
      </c>
      <c r="K854" s="113">
        <v>0.0205</v>
      </c>
      <c r="L854" s="60">
        <f>+K854-((K854*0.036*0.125)+(K854*(1-0.036)*0.26))</f>
        <v>0.01526963</v>
      </c>
      <c r="M854" s="60">
        <f t="shared" si="31"/>
        <v>0.01526963</v>
      </c>
      <c r="N854" s="67" t="s">
        <v>251</v>
      </c>
      <c r="IR854" s="94"/>
    </row>
    <row r="855" spans="1:252" s="30" customFormat="1" ht="23.25" customHeight="1">
      <c r="A855" s="94"/>
      <c r="B855" s="12" t="s">
        <v>188</v>
      </c>
      <c r="C855" s="69" t="s">
        <v>339</v>
      </c>
      <c r="D855" s="12" t="s">
        <v>411</v>
      </c>
      <c r="E855" s="65">
        <v>44347</v>
      </c>
      <c r="F855" s="66">
        <v>44348</v>
      </c>
      <c r="G855" s="66">
        <v>44351</v>
      </c>
      <c r="H855" s="70">
        <v>0.05</v>
      </c>
      <c r="I855" s="113">
        <v>0.3588</v>
      </c>
      <c r="J855" s="113">
        <v>0</v>
      </c>
      <c r="K855" s="113">
        <v>0.3588</v>
      </c>
      <c r="L855" s="60">
        <f>+K855-((K855*0.036*0.125)+(K855*(1-0.036)*0.26))</f>
        <v>0.267255768</v>
      </c>
      <c r="M855" s="60">
        <f t="shared" si="31"/>
        <v>0.267255768</v>
      </c>
      <c r="N855" s="67" t="s">
        <v>251</v>
      </c>
      <c r="IR855" s="94"/>
    </row>
    <row r="856" spans="1:252" s="30" customFormat="1" ht="23.25" customHeight="1">
      <c r="A856" s="94"/>
      <c r="B856" s="12" t="s">
        <v>196</v>
      </c>
      <c r="C856" s="74" t="s">
        <v>340</v>
      </c>
      <c r="D856" s="73" t="s">
        <v>411</v>
      </c>
      <c r="E856" s="65">
        <v>44347</v>
      </c>
      <c r="F856" s="66">
        <v>44348</v>
      </c>
      <c r="G856" s="66">
        <v>44351</v>
      </c>
      <c r="H856" s="70">
        <v>0.05</v>
      </c>
      <c r="I856" s="113">
        <v>0.3726</v>
      </c>
      <c r="J856" s="113">
        <v>0</v>
      </c>
      <c r="K856" s="113">
        <v>0.3726</v>
      </c>
      <c r="L856" s="60">
        <f>+K856-((K856*0.036*0.125)+(K856*(1-0.036)*0.26))</f>
        <v>0.277534836</v>
      </c>
      <c r="M856" s="60">
        <f t="shared" si="31"/>
        <v>0.277534836</v>
      </c>
      <c r="N856" s="67" t="s">
        <v>251</v>
      </c>
      <c r="IR856" s="94"/>
    </row>
    <row r="857" spans="1:14" s="30" customFormat="1" ht="23.25" customHeight="1">
      <c r="A857" s="94"/>
      <c r="B857" s="12" t="s">
        <v>191</v>
      </c>
      <c r="C857" s="69" t="s">
        <v>346</v>
      </c>
      <c r="D857" s="12" t="s">
        <v>411</v>
      </c>
      <c r="E857" s="65">
        <v>44347</v>
      </c>
      <c r="F857" s="66">
        <v>44348</v>
      </c>
      <c r="G857" s="66">
        <v>44351</v>
      </c>
      <c r="H857" s="67">
        <v>0.035</v>
      </c>
      <c r="I857" s="113">
        <v>0.0141</v>
      </c>
      <c r="J857" s="113">
        <v>0</v>
      </c>
      <c r="K857" s="113">
        <v>0.0141</v>
      </c>
      <c r="L857" s="60">
        <f>+K857-((K857*0.713*0.125)+(K857*(1-0.713)*0.26))</f>
        <v>0.0117911955</v>
      </c>
      <c r="M857" s="60">
        <f t="shared" si="31"/>
        <v>0.0117911955</v>
      </c>
      <c r="N857" s="67" t="s">
        <v>251</v>
      </c>
    </row>
    <row r="858" spans="1:14" s="30" customFormat="1" ht="23.25" customHeight="1">
      <c r="A858" s="94"/>
      <c r="B858" s="12" t="s">
        <v>199</v>
      </c>
      <c r="C858" s="74" t="s">
        <v>347</v>
      </c>
      <c r="D858" s="73" t="s">
        <v>411</v>
      </c>
      <c r="E858" s="65">
        <v>44347</v>
      </c>
      <c r="F858" s="66">
        <v>44348</v>
      </c>
      <c r="G858" s="66">
        <v>44351</v>
      </c>
      <c r="H858" s="67">
        <v>0.035</v>
      </c>
      <c r="I858" s="113">
        <v>0.014</v>
      </c>
      <c r="J858" s="113">
        <v>0</v>
      </c>
      <c r="K858" s="113">
        <v>0.014</v>
      </c>
      <c r="L858" s="60">
        <f>+K858-((K858*0.713*0.125)+(K858*(1-0.713)*0.26))</f>
        <v>0.01170757</v>
      </c>
      <c r="M858" s="60">
        <f t="shared" si="31"/>
        <v>0.01170757</v>
      </c>
      <c r="N858" s="67" t="s">
        <v>251</v>
      </c>
    </row>
    <row r="859" spans="1:14" s="30" customFormat="1" ht="23.25" customHeight="1">
      <c r="A859" s="94"/>
      <c r="B859" s="12" t="s">
        <v>306</v>
      </c>
      <c r="C859" s="64" t="s">
        <v>430</v>
      </c>
      <c r="D859" s="12" t="s">
        <v>411</v>
      </c>
      <c r="E859" s="65">
        <v>44347</v>
      </c>
      <c r="F859" s="66">
        <v>44348</v>
      </c>
      <c r="G859" s="66">
        <v>44351</v>
      </c>
      <c r="H859" s="70">
        <v>0.025</v>
      </c>
      <c r="I859" s="113">
        <v>0.0103</v>
      </c>
      <c r="J859" s="113">
        <v>0</v>
      </c>
      <c r="K859" s="113">
        <v>0.0103</v>
      </c>
      <c r="L859" s="60">
        <f>+K859-((K859*0.0002*0.125)+(K859*(1-0.0002)*0.26))</f>
        <v>0.007622278099999999</v>
      </c>
      <c r="M859" s="60">
        <f t="shared" si="31"/>
        <v>0.007622278099999999</v>
      </c>
      <c r="N859" s="67" t="s">
        <v>251</v>
      </c>
    </row>
    <row r="860" spans="1:14" s="30" customFormat="1" ht="23.25" customHeight="1">
      <c r="A860" s="94"/>
      <c r="B860" s="12" t="s">
        <v>184</v>
      </c>
      <c r="C860" s="69" t="s">
        <v>354</v>
      </c>
      <c r="D860" s="12" t="s">
        <v>411</v>
      </c>
      <c r="E860" s="65">
        <v>44347</v>
      </c>
      <c r="F860" s="66">
        <v>44348</v>
      </c>
      <c r="G860" s="66">
        <v>44351</v>
      </c>
      <c r="H860" s="70">
        <v>0.025</v>
      </c>
      <c r="I860" s="113">
        <v>0.2075</v>
      </c>
      <c r="J860" s="113">
        <v>0</v>
      </c>
      <c r="K860" s="113">
        <v>0.2075</v>
      </c>
      <c r="L860" s="60">
        <f>+K860-((K860*0.0002*0.125)+(K860*(1-0.0002)*0.26))</f>
        <v>0.1535556025</v>
      </c>
      <c r="M860" s="60">
        <f aca="true" t="shared" si="32" ref="M860:M882">J860+L860</f>
        <v>0.1535556025</v>
      </c>
      <c r="N860" s="67" t="s">
        <v>251</v>
      </c>
    </row>
    <row r="861" spans="1:14" s="30" customFormat="1" ht="23.25" customHeight="1">
      <c r="A861" s="94"/>
      <c r="B861" s="12" t="s">
        <v>192</v>
      </c>
      <c r="C861" s="74" t="s">
        <v>355</v>
      </c>
      <c r="D861" s="73" t="s">
        <v>411</v>
      </c>
      <c r="E861" s="65">
        <v>44347</v>
      </c>
      <c r="F861" s="66">
        <v>44348</v>
      </c>
      <c r="G861" s="66">
        <v>44351</v>
      </c>
      <c r="H861" s="70">
        <v>0.025</v>
      </c>
      <c r="I861" s="113">
        <v>0.2096</v>
      </c>
      <c r="J861" s="113">
        <v>0</v>
      </c>
      <c r="K861" s="113">
        <v>0.2096</v>
      </c>
      <c r="L861" s="60">
        <f>+K861-((K861*0.0002*0.125)+(K861*(1-0.0002)*0.26))</f>
        <v>0.1551096592</v>
      </c>
      <c r="M861" s="60">
        <f t="shared" si="32"/>
        <v>0.1551096592</v>
      </c>
      <c r="N861" s="67" t="s">
        <v>251</v>
      </c>
    </row>
    <row r="862" spans="1:252" s="30" customFormat="1" ht="23.25" customHeight="1">
      <c r="A862" s="10"/>
      <c r="B862" s="1" t="s">
        <v>311</v>
      </c>
      <c r="C862" s="79" t="s">
        <v>425</v>
      </c>
      <c r="D862" s="1" t="s">
        <v>411</v>
      </c>
      <c r="E862" s="83">
        <v>44347</v>
      </c>
      <c r="F862" s="80">
        <v>44348</v>
      </c>
      <c r="G862" s="80">
        <v>44351</v>
      </c>
      <c r="H862" s="132">
        <v>0.015</v>
      </c>
      <c r="I862" s="88">
        <v>0.0061</v>
      </c>
      <c r="J862" s="88">
        <v>0</v>
      </c>
      <c r="K862" s="88">
        <v>0.0061</v>
      </c>
      <c r="L862" s="76">
        <f>+K862-((K862*0.0000001*0.125)+(K862*(1-0.0000001)*0.26))</f>
        <v>0.00451400008235</v>
      </c>
      <c r="M862" s="76">
        <f t="shared" si="32"/>
        <v>0.00451400008235</v>
      </c>
      <c r="N862" s="77" t="s">
        <v>251</v>
      </c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  <c r="IR862" s="3"/>
    </row>
    <row r="863" spans="1:14" s="30" customFormat="1" ht="23.25" customHeight="1">
      <c r="A863" s="94"/>
      <c r="B863" s="12" t="s">
        <v>189</v>
      </c>
      <c r="C863" s="69" t="s">
        <v>356</v>
      </c>
      <c r="D863" s="12" t="s">
        <v>411</v>
      </c>
      <c r="E863" s="65">
        <v>44347</v>
      </c>
      <c r="F863" s="66">
        <v>44348</v>
      </c>
      <c r="G863" s="66">
        <v>44351</v>
      </c>
      <c r="H863" s="70">
        <v>0.015</v>
      </c>
      <c r="I863" s="113">
        <v>0.1124</v>
      </c>
      <c r="J863" s="113">
        <v>0</v>
      </c>
      <c r="K863" s="113">
        <v>0.1124</v>
      </c>
      <c r="L863" s="60">
        <f>+K863-((K863*0.0000001*0.125)+(K863*(1-0.0000001)*0.26))</f>
        <v>0.0831760015174</v>
      </c>
      <c r="M863" s="60">
        <f t="shared" si="32"/>
        <v>0.0831760015174</v>
      </c>
      <c r="N863" s="67" t="s">
        <v>251</v>
      </c>
    </row>
    <row r="864" spans="1:252" ht="23.25" customHeight="1">
      <c r="A864" s="94"/>
      <c r="B864" s="12" t="s">
        <v>197</v>
      </c>
      <c r="C864" s="74" t="s">
        <v>357</v>
      </c>
      <c r="D864" s="73" t="s">
        <v>411</v>
      </c>
      <c r="E864" s="65">
        <v>44347</v>
      </c>
      <c r="F864" s="66">
        <v>44348</v>
      </c>
      <c r="G864" s="66">
        <v>44351</v>
      </c>
      <c r="H864" s="70">
        <v>0.015</v>
      </c>
      <c r="I864" s="113">
        <v>0.1145</v>
      </c>
      <c r="J864" s="113">
        <v>0</v>
      </c>
      <c r="K864" s="113">
        <v>0.1145</v>
      </c>
      <c r="L864" s="60">
        <f>+K864-((K864*0.0000001*0.125)+(K864*(1-0.0000001)*0.26))</f>
        <v>0.08473000154575</v>
      </c>
      <c r="M864" s="60">
        <f t="shared" si="32"/>
        <v>0.08473000154575</v>
      </c>
      <c r="N864" s="67" t="s">
        <v>251</v>
      </c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30"/>
      <c r="BY864" s="30"/>
      <c r="BZ864" s="30"/>
      <c r="CA864" s="30"/>
      <c r="CB864" s="30"/>
      <c r="CC864" s="30"/>
      <c r="CD864" s="30"/>
      <c r="CE864" s="30"/>
      <c r="CF864" s="30"/>
      <c r="CG864" s="30"/>
      <c r="CH864" s="30"/>
      <c r="CI864" s="30"/>
      <c r="CJ864" s="30"/>
      <c r="CK864" s="30"/>
      <c r="CL864" s="30"/>
      <c r="CM864" s="30"/>
      <c r="CN864" s="30"/>
      <c r="CO864" s="30"/>
      <c r="CP864" s="30"/>
      <c r="CQ864" s="30"/>
      <c r="CR864" s="30"/>
      <c r="CS864" s="30"/>
      <c r="CT864" s="30"/>
      <c r="CU864" s="30"/>
      <c r="CV864" s="30"/>
      <c r="CW864" s="30"/>
      <c r="CX864" s="30"/>
      <c r="CY864" s="30"/>
      <c r="CZ864" s="30"/>
      <c r="DA864" s="30"/>
      <c r="DB864" s="30"/>
      <c r="DC864" s="30"/>
      <c r="DD864" s="30"/>
      <c r="DE864" s="30"/>
      <c r="DF864" s="30"/>
      <c r="DG864" s="30"/>
      <c r="DH864" s="30"/>
      <c r="DI864" s="30"/>
      <c r="DJ864" s="30"/>
      <c r="DK864" s="30"/>
      <c r="DL864" s="30"/>
      <c r="DM864" s="30"/>
      <c r="DN864" s="30"/>
      <c r="DO864" s="30"/>
      <c r="DP864" s="30"/>
      <c r="DQ864" s="30"/>
      <c r="DR864" s="30"/>
      <c r="DS864" s="30"/>
      <c r="DT864" s="30"/>
      <c r="DU864" s="30"/>
      <c r="DV864" s="30"/>
      <c r="DW864" s="30"/>
      <c r="DX864" s="30"/>
      <c r="DY864" s="30"/>
      <c r="DZ864" s="30"/>
      <c r="EA864" s="30"/>
      <c r="EB864" s="30"/>
      <c r="EC864" s="30"/>
      <c r="ED864" s="30"/>
      <c r="EE864" s="30"/>
      <c r="EF864" s="30"/>
      <c r="EG864" s="30"/>
      <c r="EH864" s="30"/>
      <c r="EI864" s="30"/>
      <c r="EJ864" s="30"/>
      <c r="EK864" s="30"/>
      <c r="EL864" s="30"/>
      <c r="EM864" s="30"/>
      <c r="EN864" s="30"/>
      <c r="EO864" s="30"/>
      <c r="EP864" s="30"/>
      <c r="EQ864" s="30"/>
      <c r="ER864" s="30"/>
      <c r="ES864" s="30"/>
      <c r="ET864" s="30"/>
      <c r="EU864" s="30"/>
      <c r="EV864" s="30"/>
      <c r="EW864" s="30"/>
      <c r="EX864" s="30"/>
      <c r="EY864" s="30"/>
      <c r="EZ864" s="30"/>
      <c r="FA864" s="30"/>
      <c r="FB864" s="30"/>
      <c r="FC864" s="30"/>
      <c r="FD864" s="30"/>
      <c r="FE864" s="30"/>
      <c r="FF864" s="30"/>
      <c r="FG864" s="30"/>
      <c r="FH864" s="30"/>
      <c r="FI864" s="30"/>
      <c r="FJ864" s="30"/>
      <c r="FK864" s="30"/>
      <c r="FL864" s="30"/>
      <c r="FM864" s="30"/>
      <c r="FN864" s="30"/>
      <c r="FO864" s="30"/>
      <c r="FP864" s="30"/>
      <c r="FQ864" s="30"/>
      <c r="FR864" s="30"/>
      <c r="FS864" s="30"/>
      <c r="FT864" s="30"/>
      <c r="FU864" s="30"/>
      <c r="FV864" s="30"/>
      <c r="FW864" s="30"/>
      <c r="FX864" s="30"/>
      <c r="FY864" s="30"/>
      <c r="FZ864" s="30"/>
      <c r="GA864" s="30"/>
      <c r="GB864" s="30"/>
      <c r="GC864" s="30"/>
      <c r="GD864" s="30"/>
      <c r="GE864" s="30"/>
      <c r="GF864" s="30"/>
      <c r="GG864" s="30"/>
      <c r="GH864" s="30"/>
      <c r="GI864" s="30"/>
      <c r="GJ864" s="30"/>
      <c r="GK864" s="30"/>
      <c r="GL864" s="30"/>
      <c r="GM864" s="30"/>
      <c r="GN864" s="30"/>
      <c r="GO864" s="30"/>
      <c r="GP864" s="30"/>
      <c r="GQ864" s="30"/>
      <c r="GR864" s="30"/>
      <c r="GS864" s="30"/>
      <c r="GT864" s="30"/>
      <c r="GU864" s="30"/>
      <c r="GV864" s="30"/>
      <c r="GW864" s="30"/>
      <c r="GX864" s="30"/>
      <c r="GY864" s="30"/>
      <c r="GZ864" s="30"/>
      <c r="HA864" s="30"/>
      <c r="HB864" s="30"/>
      <c r="HC864" s="30"/>
      <c r="HD864" s="30"/>
      <c r="HE864" s="30"/>
      <c r="HF864" s="30"/>
      <c r="HG864" s="30"/>
      <c r="HH864" s="30"/>
      <c r="HI864" s="30"/>
      <c r="HJ864" s="30"/>
      <c r="HK864" s="30"/>
      <c r="HL864" s="30"/>
      <c r="HM864" s="30"/>
      <c r="HN864" s="30"/>
      <c r="HO864" s="30"/>
      <c r="HP864" s="30"/>
      <c r="HQ864" s="30"/>
      <c r="HR864" s="30"/>
      <c r="HS864" s="30"/>
      <c r="HT864" s="30"/>
      <c r="HU864" s="30"/>
      <c r="HV864" s="30"/>
      <c r="HW864" s="30"/>
      <c r="HX864" s="30"/>
      <c r="HY864" s="30"/>
      <c r="HZ864" s="30"/>
      <c r="IA864" s="30"/>
      <c r="IB864" s="30"/>
      <c r="IC864" s="30"/>
      <c r="ID864" s="30"/>
      <c r="IE864" s="30"/>
      <c r="IF864" s="30"/>
      <c r="IG864" s="30"/>
      <c r="IH864" s="30"/>
      <c r="II864" s="30"/>
      <c r="IJ864" s="30"/>
      <c r="IK864" s="30"/>
      <c r="IL864" s="30"/>
      <c r="IM864" s="30"/>
      <c r="IN864" s="30"/>
      <c r="IO864" s="30"/>
      <c r="IP864" s="30"/>
      <c r="IQ864" s="30"/>
      <c r="IR864" s="30"/>
    </row>
    <row r="865" spans="1:14" ht="23.25" customHeight="1">
      <c r="A865" s="10"/>
      <c r="B865" s="1" t="s">
        <v>308</v>
      </c>
      <c r="C865" s="79" t="s">
        <v>426</v>
      </c>
      <c r="D865" s="1" t="s">
        <v>411</v>
      </c>
      <c r="E865" s="83">
        <v>44347</v>
      </c>
      <c r="F865" s="80">
        <v>44348</v>
      </c>
      <c r="G865" s="80">
        <v>44351</v>
      </c>
      <c r="H865" s="132">
        <v>0.015</v>
      </c>
      <c r="I865" s="88">
        <v>0.0062</v>
      </c>
      <c r="J865" s="88">
        <v>0</v>
      </c>
      <c r="K865" s="88">
        <v>0.0062</v>
      </c>
      <c r="L865" s="76">
        <f>+K865-((K865*0.458*0.125)+(K865*(1-0.458)*0.26))</f>
        <v>0.004971346</v>
      </c>
      <c r="M865" s="76">
        <f t="shared" si="32"/>
        <v>0.004971346</v>
      </c>
      <c r="N865" s="77" t="s">
        <v>251</v>
      </c>
    </row>
    <row r="866" spans="1:14" ht="23.25" customHeight="1">
      <c r="A866" s="10"/>
      <c r="B866" s="1" t="s">
        <v>186</v>
      </c>
      <c r="C866" s="108" t="s">
        <v>363</v>
      </c>
      <c r="D866" s="1" t="s">
        <v>411</v>
      </c>
      <c r="E866" s="83">
        <v>44347</v>
      </c>
      <c r="F866" s="80">
        <v>44348</v>
      </c>
      <c r="G866" s="80">
        <v>44351</v>
      </c>
      <c r="H866" s="132">
        <v>0.015</v>
      </c>
      <c r="I866" s="88">
        <v>0.1137</v>
      </c>
      <c r="J866" s="88">
        <v>0</v>
      </c>
      <c r="K866" s="88">
        <v>0.1137</v>
      </c>
      <c r="L866" s="76">
        <f>+K866-((K866*0.458*0.125)+(K866*(1-0.458)*0.26))</f>
        <v>0.09116807099999999</v>
      </c>
      <c r="M866" s="76">
        <f t="shared" si="32"/>
        <v>0.09116807099999999</v>
      </c>
      <c r="N866" s="77" t="s">
        <v>251</v>
      </c>
    </row>
    <row r="867" spans="1:14" ht="23.25" customHeight="1">
      <c r="A867" s="10"/>
      <c r="B867" s="1" t="s">
        <v>194</v>
      </c>
      <c r="C867" s="110" t="s">
        <v>364</v>
      </c>
      <c r="D867" s="109" t="s">
        <v>411</v>
      </c>
      <c r="E867" s="83">
        <v>44347</v>
      </c>
      <c r="F867" s="80">
        <v>44348</v>
      </c>
      <c r="G867" s="80">
        <v>44351</v>
      </c>
      <c r="H867" s="132">
        <v>0.015</v>
      </c>
      <c r="I867" s="88">
        <v>0.1172</v>
      </c>
      <c r="J867" s="88">
        <v>0</v>
      </c>
      <c r="K867" s="88">
        <v>0.1172</v>
      </c>
      <c r="L867" s="76">
        <f>+K867-((K867*0.458*0.125)+(K867*(1-0.458)*0.26))</f>
        <v>0.093974476</v>
      </c>
      <c r="M867" s="76">
        <f t="shared" si="32"/>
        <v>0.093974476</v>
      </c>
      <c r="N867" s="77" t="s">
        <v>251</v>
      </c>
    </row>
    <row r="868" spans="1:14" ht="23.25" customHeight="1">
      <c r="A868" s="10"/>
      <c r="B868" s="1" t="s">
        <v>307</v>
      </c>
      <c r="C868" s="79" t="s">
        <v>420</v>
      </c>
      <c r="D868" s="1" t="s">
        <v>411</v>
      </c>
      <c r="E868" s="83">
        <v>44347</v>
      </c>
      <c r="F868" s="80">
        <v>44348</v>
      </c>
      <c r="G868" s="80">
        <v>44351</v>
      </c>
      <c r="H868" s="132">
        <v>0.015</v>
      </c>
      <c r="I868" s="88">
        <v>0.0064</v>
      </c>
      <c r="J868" s="88">
        <v>0</v>
      </c>
      <c r="K868" s="88">
        <v>0.0064</v>
      </c>
      <c r="L868" s="76">
        <f>+K868-((K868*0.603*0.125)+(K868*(1-0.603)*0.26))</f>
        <v>0.005256992</v>
      </c>
      <c r="M868" s="76">
        <f t="shared" si="32"/>
        <v>0.005256992</v>
      </c>
      <c r="N868" s="77" t="s">
        <v>251</v>
      </c>
    </row>
    <row r="869" spans="1:14" ht="23.25" customHeight="1">
      <c r="A869" s="10"/>
      <c r="B869" s="1" t="s">
        <v>185</v>
      </c>
      <c r="C869" s="108" t="s">
        <v>366</v>
      </c>
      <c r="D869" s="1" t="s">
        <v>411</v>
      </c>
      <c r="E869" s="83">
        <v>44347</v>
      </c>
      <c r="F869" s="80">
        <v>44348</v>
      </c>
      <c r="G869" s="80">
        <v>44351</v>
      </c>
      <c r="H869" s="132">
        <v>0.015</v>
      </c>
      <c r="I869" s="88">
        <v>0.1067</v>
      </c>
      <c r="J869" s="88">
        <v>0</v>
      </c>
      <c r="K869" s="88">
        <v>0.1067</v>
      </c>
      <c r="L869" s="76">
        <f>+K869-((K869*0.603*0.125)+(K869*(1-0.603)*0.26))</f>
        <v>0.0876439135</v>
      </c>
      <c r="M869" s="76">
        <f t="shared" si="32"/>
        <v>0.0876439135</v>
      </c>
      <c r="N869" s="77" t="s">
        <v>251</v>
      </c>
    </row>
    <row r="870" spans="1:14" ht="23.25" customHeight="1">
      <c r="A870" s="10"/>
      <c r="B870" s="1" t="s">
        <v>193</v>
      </c>
      <c r="C870" s="110" t="s">
        <v>367</v>
      </c>
      <c r="D870" s="109" t="s">
        <v>411</v>
      </c>
      <c r="E870" s="83">
        <v>44347</v>
      </c>
      <c r="F870" s="80">
        <v>44348</v>
      </c>
      <c r="G870" s="80">
        <v>44351</v>
      </c>
      <c r="H870" s="132">
        <v>0.015</v>
      </c>
      <c r="I870" s="88">
        <v>0.1042</v>
      </c>
      <c r="J870" s="88">
        <v>0</v>
      </c>
      <c r="K870" s="88">
        <v>0.1042</v>
      </c>
      <c r="L870" s="76">
        <f>+K870-((K870*0.603*0.125)+(K870*(1-0.603)*0.26))</f>
        <v>0.085590401</v>
      </c>
      <c r="M870" s="76">
        <f t="shared" si="32"/>
        <v>0.085590401</v>
      </c>
      <c r="N870" s="77" t="s">
        <v>251</v>
      </c>
    </row>
    <row r="871" spans="1:14" ht="23.25" customHeight="1">
      <c r="A871" s="10"/>
      <c r="B871" s="1" t="s">
        <v>309</v>
      </c>
      <c r="C871" s="79" t="s">
        <v>427</v>
      </c>
      <c r="D871" s="1" t="s">
        <v>411</v>
      </c>
      <c r="E871" s="83">
        <v>44347</v>
      </c>
      <c r="F871" s="80">
        <v>44348</v>
      </c>
      <c r="G871" s="80">
        <v>44351</v>
      </c>
      <c r="H871" s="132">
        <v>0.015</v>
      </c>
      <c r="I871" s="88">
        <v>0.0064</v>
      </c>
      <c r="J871" s="88">
        <v>0</v>
      </c>
      <c r="K871" s="88">
        <v>0.0064</v>
      </c>
      <c r="L871" s="76">
        <f>+K871-((K871*0.001*0.125)+(K871*(1-0.001)*0.26))</f>
        <v>0.004736864</v>
      </c>
      <c r="M871" s="76">
        <f t="shared" si="32"/>
        <v>0.004736864</v>
      </c>
      <c r="N871" s="77" t="s">
        <v>251</v>
      </c>
    </row>
    <row r="872" spans="1:14" ht="23.25" customHeight="1">
      <c r="A872" s="10"/>
      <c r="B872" s="1" t="s">
        <v>187</v>
      </c>
      <c r="C872" s="108" t="s">
        <v>368</v>
      </c>
      <c r="D872" s="1" t="s">
        <v>411</v>
      </c>
      <c r="E872" s="83">
        <v>44347</v>
      </c>
      <c r="F872" s="80">
        <v>44348</v>
      </c>
      <c r="G872" s="80">
        <v>44351</v>
      </c>
      <c r="H872" s="132">
        <v>0.015</v>
      </c>
      <c r="I872" s="88">
        <v>0.1123</v>
      </c>
      <c r="J872" s="88">
        <v>0</v>
      </c>
      <c r="K872" s="88">
        <v>0.1123</v>
      </c>
      <c r="L872" s="76">
        <f>+K872-((K872*0.001*0.125)+(K872*(1-0.001)*0.26))</f>
        <v>0.0831171605</v>
      </c>
      <c r="M872" s="76">
        <f t="shared" si="32"/>
        <v>0.0831171605</v>
      </c>
      <c r="N872" s="77" t="s">
        <v>251</v>
      </c>
    </row>
    <row r="873" spans="1:14" ht="23.25" customHeight="1">
      <c r="A873" s="10"/>
      <c r="B873" s="1" t="s">
        <v>195</v>
      </c>
      <c r="C873" s="110" t="s">
        <v>369</v>
      </c>
      <c r="D873" s="109" t="s">
        <v>411</v>
      </c>
      <c r="E873" s="83">
        <v>44347</v>
      </c>
      <c r="F873" s="80">
        <v>44348</v>
      </c>
      <c r="G873" s="80">
        <v>44351</v>
      </c>
      <c r="H873" s="132">
        <v>0.015</v>
      </c>
      <c r="I873" s="88">
        <v>0.1161</v>
      </c>
      <c r="J873" s="88">
        <v>0</v>
      </c>
      <c r="K873" s="88">
        <v>0.1161</v>
      </c>
      <c r="L873" s="76">
        <f>+K873-((K873*0.001*0.125)+(K873*(1-0.001)*0.26))</f>
        <v>0.0859296735</v>
      </c>
      <c r="M873" s="76">
        <f t="shared" si="32"/>
        <v>0.0859296735</v>
      </c>
      <c r="N873" s="77" t="s">
        <v>251</v>
      </c>
    </row>
    <row r="874" spans="1:14" ht="23.25" customHeight="1">
      <c r="A874" s="10"/>
      <c r="B874" s="1" t="s">
        <v>312</v>
      </c>
      <c r="C874" s="79" t="s">
        <v>428</v>
      </c>
      <c r="D874" s="1" t="s">
        <v>411</v>
      </c>
      <c r="E874" s="83">
        <v>44347</v>
      </c>
      <c r="F874" s="80">
        <v>44348</v>
      </c>
      <c r="G874" s="80">
        <v>44351</v>
      </c>
      <c r="H874" s="132">
        <v>0.035</v>
      </c>
      <c r="I874" s="88">
        <v>0.0135</v>
      </c>
      <c r="J874" s="88">
        <v>0</v>
      </c>
      <c r="K874" s="88">
        <v>0.0135</v>
      </c>
      <c r="L874" s="76">
        <f>+K874-((K874*0.0075*0.125)+(K874*(1-0.0075)*0.26))</f>
        <v>0.01000366875</v>
      </c>
      <c r="M874" s="76">
        <f t="shared" si="32"/>
        <v>0.01000366875</v>
      </c>
      <c r="N874" s="77" t="s">
        <v>251</v>
      </c>
    </row>
    <row r="875" spans="1:14" ht="23.25" customHeight="1">
      <c r="A875" s="10"/>
      <c r="B875" s="1" t="s">
        <v>190</v>
      </c>
      <c r="C875" s="108" t="s">
        <v>370</v>
      </c>
      <c r="D875" s="1" t="s">
        <v>411</v>
      </c>
      <c r="E875" s="83">
        <v>44347</v>
      </c>
      <c r="F875" s="80">
        <v>44348</v>
      </c>
      <c r="G875" s="80">
        <v>44351</v>
      </c>
      <c r="H875" s="132">
        <v>0.035</v>
      </c>
      <c r="I875" s="88">
        <v>0.2555</v>
      </c>
      <c r="J875" s="88">
        <v>0</v>
      </c>
      <c r="K875" s="88">
        <v>0.2555</v>
      </c>
      <c r="L875" s="76">
        <f>+K875-((K875*0.0075*0.125)+(K875*(1-0.0075)*0.26))</f>
        <v>0.18932869375</v>
      </c>
      <c r="M875" s="76">
        <f t="shared" si="32"/>
        <v>0.18932869375</v>
      </c>
      <c r="N875" s="77" t="s">
        <v>251</v>
      </c>
    </row>
    <row r="876" spans="1:14" ht="23.25" customHeight="1">
      <c r="A876" s="10"/>
      <c r="B876" s="1" t="s">
        <v>198</v>
      </c>
      <c r="C876" s="110" t="s">
        <v>371</v>
      </c>
      <c r="D876" s="109" t="s">
        <v>411</v>
      </c>
      <c r="E876" s="83">
        <v>44347</v>
      </c>
      <c r="F876" s="80">
        <v>44348</v>
      </c>
      <c r="G876" s="80">
        <v>44351</v>
      </c>
      <c r="H876" s="132">
        <v>0.035</v>
      </c>
      <c r="I876" s="88">
        <v>0.2564</v>
      </c>
      <c r="J876" s="88">
        <v>0</v>
      </c>
      <c r="K876" s="88">
        <v>0.2564</v>
      </c>
      <c r="L876" s="76">
        <f>+K876-((K876*0.0075*0.125)+(K876*(1-0.0075)*0.26))</f>
        <v>0.189995605</v>
      </c>
      <c r="M876" s="76">
        <f t="shared" si="32"/>
        <v>0.189995605</v>
      </c>
      <c r="N876" s="77" t="s">
        <v>251</v>
      </c>
    </row>
    <row r="877" spans="1:14" ht="23.25" customHeight="1">
      <c r="A877" s="10"/>
      <c r="B877" s="1" t="s">
        <v>516</v>
      </c>
      <c r="C877" s="79" t="s">
        <v>518</v>
      </c>
      <c r="D877" s="1" t="s">
        <v>411</v>
      </c>
      <c r="E877" s="83">
        <v>44347</v>
      </c>
      <c r="F877" s="80">
        <v>44348</v>
      </c>
      <c r="G877" s="80">
        <v>44351</v>
      </c>
      <c r="H877" s="132">
        <v>0.02</v>
      </c>
      <c r="I877" s="88">
        <v>0.1347</v>
      </c>
      <c r="J877" s="88">
        <v>0</v>
      </c>
      <c r="K877" s="88">
        <v>0.1347</v>
      </c>
      <c r="L877" s="76">
        <f>+K877-((K877*0.505*0.125)+(K877*(1-0.505)*0.26))</f>
        <v>0.10886117249999999</v>
      </c>
      <c r="M877" s="76">
        <f t="shared" si="32"/>
        <v>0.10886117249999999</v>
      </c>
      <c r="N877" s="77" t="s">
        <v>251</v>
      </c>
    </row>
    <row r="878" spans="1:14" ht="23.25" customHeight="1">
      <c r="A878" s="10"/>
      <c r="B878" s="1" t="s">
        <v>517</v>
      </c>
      <c r="C878" s="79" t="s">
        <v>519</v>
      </c>
      <c r="D878" s="1" t="s">
        <v>411</v>
      </c>
      <c r="E878" s="83">
        <v>44347</v>
      </c>
      <c r="F878" s="80">
        <v>44348</v>
      </c>
      <c r="G878" s="80">
        <v>44351</v>
      </c>
      <c r="H878" s="132">
        <v>0.02</v>
      </c>
      <c r="I878" s="88">
        <v>0.1356</v>
      </c>
      <c r="J878" s="88">
        <v>0</v>
      </c>
      <c r="K878" s="88">
        <v>0.1356</v>
      </c>
      <c r="L878" s="76">
        <f>+K878-((K878*0.505*0.125)+(K878*(1-0.505)*0.26))</f>
        <v>0.10958852999999999</v>
      </c>
      <c r="M878" s="76">
        <f t="shared" si="32"/>
        <v>0.10958852999999999</v>
      </c>
      <c r="N878" s="77" t="s">
        <v>251</v>
      </c>
    </row>
    <row r="879" spans="1:14" ht="23.25" customHeight="1">
      <c r="A879" s="10"/>
      <c r="B879" s="1" t="s">
        <v>313</v>
      </c>
      <c r="C879" s="79" t="s">
        <v>429</v>
      </c>
      <c r="D879" s="1" t="s">
        <v>411</v>
      </c>
      <c r="E879" s="83">
        <v>44347</v>
      </c>
      <c r="F879" s="80">
        <v>44348</v>
      </c>
      <c r="G879" s="80">
        <v>44351</v>
      </c>
      <c r="H879" s="132">
        <v>0.01</v>
      </c>
      <c r="I879" s="88">
        <v>0.0043</v>
      </c>
      <c r="J879" s="88">
        <v>0</v>
      </c>
      <c r="K879" s="88">
        <v>0.0043</v>
      </c>
      <c r="L879" s="76">
        <f>+K879-((K879*0.135*0.125)+(K879*(1-0.135)*0.26))</f>
        <v>0.0032603675</v>
      </c>
      <c r="M879" s="76">
        <f t="shared" si="32"/>
        <v>0.0032603675</v>
      </c>
      <c r="N879" s="77" t="s">
        <v>251</v>
      </c>
    </row>
    <row r="880" spans="1:199" ht="23.25" customHeight="1">
      <c r="A880" s="10"/>
      <c r="B880" s="1" t="s">
        <v>174</v>
      </c>
      <c r="C880" s="110" t="s">
        <v>382</v>
      </c>
      <c r="D880" s="109" t="s">
        <v>410</v>
      </c>
      <c r="E880" s="83">
        <v>44376</v>
      </c>
      <c r="F880" s="80">
        <v>44377</v>
      </c>
      <c r="G880" s="80">
        <v>44382</v>
      </c>
      <c r="H880" s="132"/>
      <c r="I880" s="76">
        <v>0.030021</v>
      </c>
      <c r="J880" s="88">
        <v>0</v>
      </c>
      <c r="K880" s="88">
        <v>0.03002087</v>
      </c>
      <c r="L880" s="76">
        <f>+K880-((K880*0.009*0.125)+(K880*(1-0.009)*0.26))</f>
        <v>0.02225191915705</v>
      </c>
      <c r="M880" s="76">
        <f t="shared" si="32"/>
        <v>0.02225191915705</v>
      </c>
      <c r="N880" s="77" t="s">
        <v>247</v>
      </c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</row>
    <row r="881" spans="1:199" ht="23.25" customHeight="1">
      <c r="A881" s="10"/>
      <c r="B881" s="1" t="s">
        <v>176</v>
      </c>
      <c r="C881" s="110" t="s">
        <v>397</v>
      </c>
      <c r="D881" s="109" t="s">
        <v>410</v>
      </c>
      <c r="E881" s="83">
        <v>44376</v>
      </c>
      <c r="F881" s="80">
        <v>44377</v>
      </c>
      <c r="G881" s="80">
        <v>44382</v>
      </c>
      <c r="H881" s="132"/>
      <c r="I881" s="76">
        <v>0.031988</v>
      </c>
      <c r="J881" s="88">
        <v>0</v>
      </c>
      <c r="K881" s="88">
        <v>0.031988</v>
      </c>
      <c r="L881" s="76">
        <f>+K881-((K881*0.118*0.125)+(K881*(1-0.118)*0.26))</f>
        <v>0.024180688840000002</v>
      </c>
      <c r="M881" s="76">
        <f t="shared" si="32"/>
        <v>0.024180688840000002</v>
      </c>
      <c r="N881" s="77" t="s">
        <v>247</v>
      </c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42"/>
      <c r="GQ881" s="42"/>
    </row>
    <row r="882" spans="1:14" ht="23.25" customHeight="1">
      <c r="A882" s="10"/>
      <c r="B882" s="1" t="s">
        <v>175</v>
      </c>
      <c r="C882" s="110" t="s">
        <v>467</v>
      </c>
      <c r="D882" s="109" t="s">
        <v>410</v>
      </c>
      <c r="E882" s="83">
        <v>44376</v>
      </c>
      <c r="F882" s="80">
        <v>44377</v>
      </c>
      <c r="G882" s="80">
        <v>44382</v>
      </c>
      <c r="H882" s="132"/>
      <c r="I882" s="76">
        <v>0.051279</v>
      </c>
      <c r="J882" s="88">
        <v>0</v>
      </c>
      <c r="K882" s="88">
        <v>0.05127926</v>
      </c>
      <c r="L882" s="76">
        <f>+K882-((K882*0.16*0.125)+(K882*(1-0.16)*0.26))</f>
        <v>0.039054284416</v>
      </c>
      <c r="M882" s="76">
        <f t="shared" si="32"/>
        <v>0.039054284416</v>
      </c>
      <c r="N882" s="77" t="s">
        <v>247</v>
      </c>
    </row>
    <row r="883" spans="1:14" ht="23.25" customHeight="1">
      <c r="A883" s="10"/>
      <c r="B883" s="1" t="s">
        <v>298</v>
      </c>
      <c r="C883" s="79" t="s">
        <v>403</v>
      </c>
      <c r="D883" s="1" t="s">
        <v>410</v>
      </c>
      <c r="E883" s="83">
        <v>44377</v>
      </c>
      <c r="F883" s="80">
        <v>44378</v>
      </c>
      <c r="G883" s="80">
        <v>44383</v>
      </c>
      <c r="H883" s="132">
        <v>0.045</v>
      </c>
      <c r="I883" s="76">
        <v>0.0531</v>
      </c>
      <c r="J883" s="88">
        <v>0</v>
      </c>
      <c r="K883" s="88">
        <v>0.0531</v>
      </c>
      <c r="L883" s="76">
        <f>+K883-((K883*0.443*0.125)+(K883*(1-0.443)*0.26))</f>
        <v>0.0424696455</v>
      </c>
      <c r="M883" s="76">
        <v>0</v>
      </c>
      <c r="N883" s="77" t="s">
        <v>248</v>
      </c>
    </row>
    <row r="884" spans="1:14" ht="23.25" customHeight="1">
      <c r="A884" s="10"/>
      <c r="B884" s="1" t="s">
        <v>181</v>
      </c>
      <c r="C884" s="108" t="s">
        <v>335</v>
      </c>
      <c r="D884" s="1" t="s">
        <v>410</v>
      </c>
      <c r="E884" s="83">
        <v>44377</v>
      </c>
      <c r="F884" s="80">
        <v>44378</v>
      </c>
      <c r="G884" s="80">
        <v>44383</v>
      </c>
      <c r="H884" s="132">
        <v>0.045</v>
      </c>
      <c r="I884" s="76">
        <v>0.9492</v>
      </c>
      <c r="J884" s="88">
        <v>0</v>
      </c>
      <c r="K884" s="88">
        <v>0.9492</v>
      </c>
      <c r="L884" s="76">
        <f>+K884-((K884*0.443*0.125)+(K884*(1-0.443)*0.26))</f>
        <v>0.759174906</v>
      </c>
      <c r="M884" s="76">
        <v>0</v>
      </c>
      <c r="N884" s="77" t="s">
        <v>248</v>
      </c>
    </row>
    <row r="885" spans="1:14" ht="23.25" customHeight="1">
      <c r="A885" s="10"/>
      <c r="B885" s="1" t="s">
        <v>201</v>
      </c>
      <c r="C885" s="110" t="s">
        <v>336</v>
      </c>
      <c r="D885" s="1" t="s">
        <v>410</v>
      </c>
      <c r="E885" s="83">
        <v>44377</v>
      </c>
      <c r="F885" s="80">
        <v>44378</v>
      </c>
      <c r="G885" s="80">
        <v>44383</v>
      </c>
      <c r="H885" s="132">
        <v>0.045</v>
      </c>
      <c r="I885" s="76">
        <v>0.9584</v>
      </c>
      <c r="J885" s="88">
        <v>0</v>
      </c>
      <c r="K885" s="88">
        <v>0.9584</v>
      </c>
      <c r="L885" s="76">
        <f>+K885-((K885*0.443*0.125)+(K885*(1-0.443)*0.26))</f>
        <v>0.7665331120000001</v>
      </c>
      <c r="M885" s="76">
        <v>0</v>
      </c>
      <c r="N885" s="77" t="s">
        <v>248</v>
      </c>
    </row>
    <row r="886" spans="1:14" ht="23.25" customHeight="1">
      <c r="A886" s="10"/>
      <c r="B886" s="1" t="s">
        <v>138</v>
      </c>
      <c r="C886" s="79" t="s">
        <v>337</v>
      </c>
      <c r="D886" s="1" t="s">
        <v>410</v>
      </c>
      <c r="E886" s="83">
        <v>44377</v>
      </c>
      <c r="F886" s="80">
        <v>44378</v>
      </c>
      <c r="G886" s="80">
        <v>44383</v>
      </c>
      <c r="H886" s="132">
        <v>0.05</v>
      </c>
      <c r="I886" s="76">
        <v>0.0718</v>
      </c>
      <c r="J886" s="88">
        <v>0</v>
      </c>
      <c r="K886" s="88">
        <v>0.0718</v>
      </c>
      <c r="L886" s="76">
        <f>+K886-((K886*0.272*0.125)+(K886*(1-0.272)*0.26))</f>
        <v>0.055768496</v>
      </c>
      <c r="M886" s="76">
        <v>0</v>
      </c>
      <c r="N886" s="77" t="s">
        <v>248</v>
      </c>
    </row>
    <row r="887" spans="1:14" ht="23.25" customHeight="1">
      <c r="A887" s="10"/>
      <c r="B887" s="1" t="s">
        <v>160</v>
      </c>
      <c r="C887" s="108" t="s">
        <v>338</v>
      </c>
      <c r="D887" s="1" t="s">
        <v>410</v>
      </c>
      <c r="E887" s="83">
        <v>44377</v>
      </c>
      <c r="F887" s="80">
        <v>44378</v>
      </c>
      <c r="G887" s="80">
        <v>44383</v>
      </c>
      <c r="H887" s="132">
        <v>0.05</v>
      </c>
      <c r="I887" s="76">
        <v>0.0711</v>
      </c>
      <c r="J887" s="88">
        <v>0</v>
      </c>
      <c r="K887" s="88">
        <v>0.0711</v>
      </c>
      <c r="L887" s="76">
        <f>+K887-((K887*0.272*0.125)+(K887*(1-0.272)*0.26))</f>
        <v>0.055224791999999995</v>
      </c>
      <c r="M887" s="76">
        <v>0</v>
      </c>
      <c r="N887" s="77" t="s">
        <v>248</v>
      </c>
    </row>
    <row r="888" spans="1:14" ht="23.25" customHeight="1">
      <c r="A888" s="10"/>
      <c r="B888" s="1" t="s">
        <v>300</v>
      </c>
      <c r="C888" s="79" t="s">
        <v>404</v>
      </c>
      <c r="D888" s="1" t="s">
        <v>410</v>
      </c>
      <c r="E888" s="83">
        <v>44377</v>
      </c>
      <c r="F888" s="80">
        <v>44378</v>
      </c>
      <c r="G888" s="80">
        <v>44383</v>
      </c>
      <c r="H888" s="132">
        <v>0.05</v>
      </c>
      <c r="I888" s="76">
        <v>0.0556</v>
      </c>
      <c r="J888" s="88">
        <v>0</v>
      </c>
      <c r="K888" s="88">
        <v>0.0556</v>
      </c>
      <c r="L888" s="76">
        <f>+K888-((K888*0.272*0.125)+(K888*(1-0.272)*0.26))</f>
        <v>0.043185632</v>
      </c>
      <c r="M888" s="76">
        <v>0</v>
      </c>
      <c r="N888" s="77" t="s">
        <v>248</v>
      </c>
    </row>
    <row r="889" spans="1:252" ht="23.25" customHeight="1">
      <c r="A889" s="10"/>
      <c r="B889" s="1" t="s">
        <v>310</v>
      </c>
      <c r="C889" s="79" t="s">
        <v>424</v>
      </c>
      <c r="D889" s="1" t="s">
        <v>411</v>
      </c>
      <c r="E889" s="83">
        <v>44377</v>
      </c>
      <c r="F889" s="80">
        <v>44378</v>
      </c>
      <c r="G889" s="80">
        <v>44383</v>
      </c>
      <c r="H889" s="132">
        <v>0.05</v>
      </c>
      <c r="I889" s="76">
        <v>0.0205</v>
      </c>
      <c r="J889" s="88">
        <v>0</v>
      </c>
      <c r="K889" s="88">
        <v>0.0205</v>
      </c>
      <c r="L889" s="76">
        <f>+K889-((K889*0.036*0.125)+(K889*(1-0.036)*0.26))</f>
        <v>0.01526963</v>
      </c>
      <c r="M889" s="76">
        <f>J889+L889</f>
        <v>0.01526963</v>
      </c>
      <c r="N889" s="77" t="s">
        <v>251</v>
      </c>
      <c r="IR889" s="10"/>
    </row>
    <row r="890" spans="1:252" ht="23.25" customHeight="1">
      <c r="A890" s="10"/>
      <c r="B890" s="1" t="s">
        <v>188</v>
      </c>
      <c r="C890" s="108" t="s">
        <v>339</v>
      </c>
      <c r="D890" s="1" t="s">
        <v>411</v>
      </c>
      <c r="E890" s="83">
        <v>44377</v>
      </c>
      <c r="F890" s="80">
        <v>44378</v>
      </c>
      <c r="G890" s="80">
        <v>44383</v>
      </c>
      <c r="H890" s="132">
        <v>0.05</v>
      </c>
      <c r="I890" s="76">
        <v>0.3588</v>
      </c>
      <c r="J890" s="88">
        <v>0</v>
      </c>
      <c r="K890" s="88">
        <v>0.3588</v>
      </c>
      <c r="L890" s="76">
        <f>+K890-((K890*0.036*0.125)+(K890*(1-0.036)*0.26))</f>
        <v>0.267255768</v>
      </c>
      <c r="M890" s="76">
        <f>J890+L890</f>
        <v>0.267255768</v>
      </c>
      <c r="N890" s="77" t="s">
        <v>251</v>
      </c>
      <c r="IR890" s="10"/>
    </row>
    <row r="891" spans="1:252" ht="23.25" customHeight="1">
      <c r="A891" s="10"/>
      <c r="B891" s="1" t="s">
        <v>196</v>
      </c>
      <c r="C891" s="110" t="s">
        <v>340</v>
      </c>
      <c r="D891" s="109" t="s">
        <v>411</v>
      </c>
      <c r="E891" s="83">
        <v>44377</v>
      </c>
      <c r="F891" s="80">
        <v>44378</v>
      </c>
      <c r="G891" s="80">
        <v>44383</v>
      </c>
      <c r="H891" s="132">
        <v>0.05</v>
      </c>
      <c r="I891" s="76">
        <v>0.3726</v>
      </c>
      <c r="J891" s="88">
        <v>0</v>
      </c>
      <c r="K891" s="88">
        <v>0.3726</v>
      </c>
      <c r="L891" s="76">
        <f>+K891-((K891*0.036*0.125)+(K891*(1-0.036)*0.26))</f>
        <v>0.277534836</v>
      </c>
      <c r="M891" s="76">
        <f>J891+L891</f>
        <v>0.277534836</v>
      </c>
      <c r="N891" s="77" t="s">
        <v>251</v>
      </c>
      <c r="IR891" s="10"/>
    </row>
    <row r="892" spans="1:14" ht="23.25" customHeight="1">
      <c r="A892" s="10"/>
      <c r="B892" s="1" t="s">
        <v>142</v>
      </c>
      <c r="C892" s="79" t="s">
        <v>341</v>
      </c>
      <c r="D892" s="1" t="s">
        <v>410</v>
      </c>
      <c r="E892" s="83">
        <v>44377</v>
      </c>
      <c r="F892" s="80">
        <v>44378</v>
      </c>
      <c r="G892" s="80">
        <v>44383</v>
      </c>
      <c r="H892" s="132">
        <v>0.0525</v>
      </c>
      <c r="I892" s="76">
        <v>0.077</v>
      </c>
      <c r="J892" s="88">
        <v>0</v>
      </c>
      <c r="K892" s="88">
        <v>0.077</v>
      </c>
      <c r="L892" s="76">
        <f>+K892-((K892*0.033*0.125)+(K892*(1-0.033)*0.26))</f>
        <v>0.057323035</v>
      </c>
      <c r="M892" s="76">
        <v>0</v>
      </c>
      <c r="N892" s="77" t="s">
        <v>248</v>
      </c>
    </row>
    <row r="893" spans="1:14" ht="23.25" customHeight="1">
      <c r="A893" s="10"/>
      <c r="B893" s="1" t="s">
        <v>159</v>
      </c>
      <c r="C893" s="108" t="s">
        <v>342</v>
      </c>
      <c r="D893" s="1" t="s">
        <v>410</v>
      </c>
      <c r="E893" s="83">
        <v>44377</v>
      </c>
      <c r="F893" s="80">
        <v>44378</v>
      </c>
      <c r="G893" s="80">
        <v>44383</v>
      </c>
      <c r="H893" s="132">
        <v>0.0525</v>
      </c>
      <c r="I893" s="76">
        <v>0.0764</v>
      </c>
      <c r="J893" s="88">
        <v>0</v>
      </c>
      <c r="K893" s="88">
        <v>0.0764</v>
      </c>
      <c r="L893" s="76">
        <f>+K893-((K893*0.033*0.125)+(K893*(1-0.033)*0.26))</f>
        <v>0.056876362</v>
      </c>
      <c r="M893" s="76">
        <v>0</v>
      </c>
      <c r="N893" s="77" t="s">
        <v>248</v>
      </c>
    </row>
    <row r="894" spans="1:14" ht="23.25" customHeight="1">
      <c r="A894" s="10"/>
      <c r="B894" s="1" t="s">
        <v>510</v>
      </c>
      <c r="C894" s="108" t="s">
        <v>511</v>
      </c>
      <c r="D894" s="1" t="s">
        <v>410</v>
      </c>
      <c r="E894" s="83">
        <v>44377</v>
      </c>
      <c r="F894" s="80">
        <v>44378</v>
      </c>
      <c r="G894" s="80">
        <v>44383</v>
      </c>
      <c r="H894" s="132">
        <v>0.0525</v>
      </c>
      <c r="I894" s="76">
        <v>0.0609</v>
      </c>
      <c r="J894" s="88">
        <v>0</v>
      </c>
      <c r="K894" s="88">
        <v>0.0609</v>
      </c>
      <c r="L894" s="76">
        <f>+K894-((K894*0.033*0.125)+(K894*(1-0.033)*0.26))</f>
        <v>0.045337309500000006</v>
      </c>
      <c r="M894" s="76">
        <v>0</v>
      </c>
      <c r="N894" s="109" t="s">
        <v>248</v>
      </c>
    </row>
    <row r="895" spans="1:14" ht="23.25" customHeight="1">
      <c r="A895" s="10"/>
      <c r="B895" s="1" t="s">
        <v>139</v>
      </c>
      <c r="C895" s="79" t="s">
        <v>344</v>
      </c>
      <c r="D895" s="1" t="s">
        <v>410</v>
      </c>
      <c r="E895" s="83">
        <v>44377</v>
      </c>
      <c r="F895" s="80">
        <v>44378</v>
      </c>
      <c r="G895" s="80">
        <v>44383</v>
      </c>
      <c r="H895" s="77">
        <v>0.035</v>
      </c>
      <c r="I895" s="76">
        <v>0.0379</v>
      </c>
      <c r="J895" s="88">
        <v>0</v>
      </c>
      <c r="K895" s="88">
        <v>0.0379</v>
      </c>
      <c r="L895" s="76">
        <f>+K895-((K895*0.713*0.125)+(K895*(1-0.713)*0.26))</f>
        <v>0.0316940645</v>
      </c>
      <c r="M895" s="76">
        <v>0</v>
      </c>
      <c r="N895" s="77" t="s">
        <v>248</v>
      </c>
    </row>
    <row r="896" spans="1:14" ht="23.25" customHeight="1">
      <c r="A896" s="10"/>
      <c r="B896" s="1" t="s">
        <v>161</v>
      </c>
      <c r="C896" s="108" t="s">
        <v>345</v>
      </c>
      <c r="D896" s="1" t="s">
        <v>410</v>
      </c>
      <c r="E896" s="83">
        <v>44377</v>
      </c>
      <c r="F896" s="80">
        <v>44378</v>
      </c>
      <c r="G896" s="80">
        <v>44383</v>
      </c>
      <c r="H896" s="77">
        <v>0.035</v>
      </c>
      <c r="I896" s="76">
        <v>0.0377</v>
      </c>
      <c r="J896" s="88">
        <v>0</v>
      </c>
      <c r="K896" s="88">
        <v>0.0377</v>
      </c>
      <c r="L896" s="76">
        <f>+K896-((K896*0.713*0.125)+(K896*(1-0.713)*0.26))</f>
        <v>0.0315268135</v>
      </c>
      <c r="M896" s="76">
        <v>0</v>
      </c>
      <c r="N896" s="77" t="s">
        <v>248</v>
      </c>
    </row>
    <row r="897" spans="1:14" ht="23.25" customHeight="1">
      <c r="A897" s="10"/>
      <c r="B897" s="1" t="s">
        <v>191</v>
      </c>
      <c r="C897" s="108" t="s">
        <v>346</v>
      </c>
      <c r="D897" s="1" t="s">
        <v>411</v>
      </c>
      <c r="E897" s="83">
        <v>44377</v>
      </c>
      <c r="F897" s="80">
        <v>44378</v>
      </c>
      <c r="G897" s="80">
        <v>44383</v>
      </c>
      <c r="H897" s="77">
        <v>0.035</v>
      </c>
      <c r="I897" s="76">
        <v>0.0141</v>
      </c>
      <c r="J897" s="88">
        <v>0</v>
      </c>
      <c r="K897" s="88">
        <v>0.0141</v>
      </c>
      <c r="L897" s="76">
        <f>+K897-((K897*0.713*0.125)+(K897*(1-0.713)*0.26))</f>
        <v>0.0117911955</v>
      </c>
      <c r="M897" s="76">
        <f>J897+L897</f>
        <v>0.0117911955</v>
      </c>
      <c r="N897" s="77" t="s">
        <v>251</v>
      </c>
    </row>
    <row r="898" spans="1:14" ht="23.25" customHeight="1">
      <c r="A898" s="10"/>
      <c r="B898" s="1" t="s">
        <v>199</v>
      </c>
      <c r="C898" s="110" t="s">
        <v>347</v>
      </c>
      <c r="D898" s="109" t="s">
        <v>411</v>
      </c>
      <c r="E898" s="83">
        <v>44377</v>
      </c>
      <c r="F898" s="80">
        <v>44378</v>
      </c>
      <c r="G898" s="80">
        <v>44383</v>
      </c>
      <c r="H898" s="77">
        <v>0.035</v>
      </c>
      <c r="I898" s="76">
        <v>0.014</v>
      </c>
      <c r="J898" s="88">
        <v>0</v>
      </c>
      <c r="K898" s="88">
        <v>0.014</v>
      </c>
      <c r="L898" s="76">
        <f>+K898-((K898*0.713*0.125)+(K898*(1-0.713)*0.26))</f>
        <v>0.01170757</v>
      </c>
      <c r="M898" s="76">
        <f>J898+L898</f>
        <v>0.01170757</v>
      </c>
      <c r="N898" s="77" t="s">
        <v>251</v>
      </c>
    </row>
    <row r="899" spans="1:14" ht="23.25" customHeight="1">
      <c r="A899" s="10"/>
      <c r="B899" s="1" t="s">
        <v>141</v>
      </c>
      <c r="C899" s="79" t="s">
        <v>348</v>
      </c>
      <c r="D899" s="1" t="s">
        <v>410</v>
      </c>
      <c r="E899" s="83">
        <v>44377</v>
      </c>
      <c r="F899" s="80">
        <v>44378</v>
      </c>
      <c r="G899" s="80">
        <v>44383</v>
      </c>
      <c r="H899" s="132">
        <v>0.0425</v>
      </c>
      <c r="I899" s="76">
        <v>0.0504</v>
      </c>
      <c r="J899" s="88">
        <v>0</v>
      </c>
      <c r="K899" s="88">
        <v>0.0504</v>
      </c>
      <c r="L899" s="76">
        <f>+K899-((K899*0.058*0.125)+(K899*(1-0.058)*0.26))</f>
        <v>0.037690632</v>
      </c>
      <c r="M899" s="76">
        <v>0</v>
      </c>
      <c r="N899" s="77" t="s">
        <v>248</v>
      </c>
    </row>
    <row r="900" spans="1:14" ht="23.25" customHeight="1">
      <c r="A900" s="10"/>
      <c r="B900" s="1" t="s">
        <v>140</v>
      </c>
      <c r="C900" s="79" t="s">
        <v>349</v>
      </c>
      <c r="D900" s="1" t="s">
        <v>410</v>
      </c>
      <c r="E900" s="83">
        <v>44377</v>
      </c>
      <c r="F900" s="80">
        <v>44378</v>
      </c>
      <c r="G900" s="80">
        <v>44383</v>
      </c>
      <c r="H900" s="132">
        <v>0.0425</v>
      </c>
      <c r="I900" s="76">
        <v>0.0516</v>
      </c>
      <c r="J900" s="88">
        <v>0</v>
      </c>
      <c r="K900" s="88">
        <v>0.0516</v>
      </c>
      <c r="L900" s="76">
        <f>+K900-((K900*0.058*0.125)+(K900*(1-0.058)*0.26))</f>
        <v>0.038588027999999996</v>
      </c>
      <c r="M900" s="76">
        <v>0</v>
      </c>
      <c r="N900" s="77" t="s">
        <v>248</v>
      </c>
    </row>
    <row r="901" spans="1:14" ht="23.25" customHeight="1">
      <c r="A901" s="10"/>
      <c r="B901" s="1" t="s">
        <v>162</v>
      </c>
      <c r="C901" s="108" t="s">
        <v>350</v>
      </c>
      <c r="D901" s="1" t="s">
        <v>410</v>
      </c>
      <c r="E901" s="83">
        <v>44377</v>
      </c>
      <c r="F901" s="80">
        <v>44378</v>
      </c>
      <c r="G901" s="80">
        <v>44383</v>
      </c>
      <c r="H901" s="132">
        <v>0.0425</v>
      </c>
      <c r="I901" s="76">
        <v>0.0512</v>
      </c>
      <c r="J901" s="88">
        <v>0</v>
      </c>
      <c r="K901" s="88">
        <v>0.0512</v>
      </c>
      <c r="L901" s="76">
        <f>+K901-((K901*0.058*0.125)+(K901*(1-0.058)*0.26))</f>
        <v>0.038288896</v>
      </c>
      <c r="M901" s="76">
        <v>0</v>
      </c>
      <c r="N901" s="77" t="s">
        <v>248</v>
      </c>
    </row>
    <row r="902" spans="1:14" ht="23.25" customHeight="1">
      <c r="A902" s="10"/>
      <c r="B902" s="1" t="s">
        <v>302</v>
      </c>
      <c r="C902" s="79" t="s">
        <v>405</v>
      </c>
      <c r="D902" s="1" t="s">
        <v>410</v>
      </c>
      <c r="E902" s="83">
        <v>44377</v>
      </c>
      <c r="F902" s="80">
        <v>44378</v>
      </c>
      <c r="G902" s="80">
        <v>44383</v>
      </c>
      <c r="H902" s="132">
        <v>0.0425</v>
      </c>
      <c r="I902" s="76">
        <v>0.0524</v>
      </c>
      <c r="J902" s="88">
        <v>0</v>
      </c>
      <c r="K902" s="88">
        <v>0.0524</v>
      </c>
      <c r="L902" s="76">
        <f>+K902-((K902*0.058*0.125)+(K902*(1-0.058)*0.26))</f>
        <v>0.039186292000000005</v>
      </c>
      <c r="M902" s="76">
        <v>0</v>
      </c>
      <c r="N902" s="77" t="s">
        <v>248</v>
      </c>
    </row>
    <row r="903" spans="1:14" ht="23.25" customHeight="1">
      <c r="A903" s="10"/>
      <c r="B903" s="1" t="s">
        <v>303</v>
      </c>
      <c r="C903" s="79" t="s">
        <v>406</v>
      </c>
      <c r="D903" s="1" t="s">
        <v>410</v>
      </c>
      <c r="E903" s="83">
        <v>44377</v>
      </c>
      <c r="F903" s="80">
        <v>44378</v>
      </c>
      <c r="G903" s="80">
        <v>44383</v>
      </c>
      <c r="H903" s="132">
        <v>0.0425</v>
      </c>
      <c r="I903" s="76">
        <v>0.0484</v>
      </c>
      <c r="J903" s="88">
        <v>0</v>
      </c>
      <c r="K903" s="88">
        <v>0.0484</v>
      </c>
      <c r="L903" s="76">
        <f>+K903-((K903*0.058*0.125)+(K903*(1-0.058)*0.26))</f>
        <v>0.036194972</v>
      </c>
      <c r="M903" s="76">
        <v>0</v>
      </c>
      <c r="N903" s="77" t="s">
        <v>248</v>
      </c>
    </row>
    <row r="904" spans="1:14" ht="23.25" customHeight="1">
      <c r="A904" s="10"/>
      <c r="B904" s="1" t="s">
        <v>143</v>
      </c>
      <c r="C904" s="79" t="s">
        <v>351</v>
      </c>
      <c r="D904" s="1" t="s">
        <v>410</v>
      </c>
      <c r="E904" s="83">
        <v>44377</v>
      </c>
      <c r="F904" s="80">
        <v>44378</v>
      </c>
      <c r="G904" s="80">
        <v>44383</v>
      </c>
      <c r="H904" s="132">
        <v>0.004</v>
      </c>
      <c r="I904" s="76">
        <v>0.0052</v>
      </c>
      <c r="J904" s="88">
        <v>0</v>
      </c>
      <c r="K904" s="88">
        <v>0.0052</v>
      </c>
      <c r="L904" s="76">
        <f>+K904-((K904*0.511*0.125)+(K904*(1-0.511)*0.26))</f>
        <v>0.0042067219999999995</v>
      </c>
      <c r="M904" s="76">
        <v>0</v>
      </c>
      <c r="N904" s="77" t="s">
        <v>248</v>
      </c>
    </row>
    <row r="905" spans="1:14" ht="23.25" customHeight="1">
      <c r="A905" s="10"/>
      <c r="B905" s="1" t="s">
        <v>145</v>
      </c>
      <c r="C905" s="79" t="s">
        <v>352</v>
      </c>
      <c r="D905" s="1" t="s">
        <v>410</v>
      </c>
      <c r="E905" s="83">
        <v>44377</v>
      </c>
      <c r="F905" s="80">
        <v>44378</v>
      </c>
      <c r="G905" s="80">
        <v>44383</v>
      </c>
      <c r="H905" s="132">
        <v>0.0045</v>
      </c>
      <c r="I905" s="76">
        <v>0.0058</v>
      </c>
      <c r="J905" s="88">
        <v>0</v>
      </c>
      <c r="K905" s="88">
        <v>0.0058</v>
      </c>
      <c r="L905" s="76">
        <f>+K905-((K905*0.002*0.125)+(K905*(1-0.002)*0.26))</f>
        <v>0.0042935659999999995</v>
      </c>
      <c r="M905" s="76">
        <v>0</v>
      </c>
      <c r="N905" s="77" t="s">
        <v>248</v>
      </c>
    </row>
    <row r="906" spans="1:14" ht="23.25" customHeight="1">
      <c r="A906" s="10"/>
      <c r="B906" s="1" t="s">
        <v>144</v>
      </c>
      <c r="C906" s="79" t="s">
        <v>353</v>
      </c>
      <c r="D906" s="1" t="s">
        <v>410</v>
      </c>
      <c r="E906" s="83">
        <v>44377</v>
      </c>
      <c r="F906" s="80">
        <v>44378</v>
      </c>
      <c r="G906" s="80">
        <v>44383</v>
      </c>
      <c r="H906" s="132">
        <v>0.002</v>
      </c>
      <c r="I906" s="76">
        <v>0.0026</v>
      </c>
      <c r="J906" s="88">
        <v>0</v>
      </c>
      <c r="K906" s="88">
        <v>0.0026</v>
      </c>
      <c r="L906" s="76">
        <f>+K906-((K906*0.885*0.125)+(K906*(1-0.885)*0.26))</f>
        <v>0.002234635</v>
      </c>
      <c r="M906" s="76">
        <v>0</v>
      </c>
      <c r="N906" s="77" t="s">
        <v>248</v>
      </c>
    </row>
    <row r="907" spans="1:14" ht="23.25" customHeight="1">
      <c r="A907" s="10"/>
      <c r="B907" s="1" t="s">
        <v>306</v>
      </c>
      <c r="C907" s="79" t="s">
        <v>430</v>
      </c>
      <c r="D907" s="1" t="s">
        <v>411</v>
      </c>
      <c r="E907" s="83">
        <v>44377</v>
      </c>
      <c r="F907" s="80">
        <v>44378</v>
      </c>
      <c r="G907" s="80">
        <v>44383</v>
      </c>
      <c r="H907" s="132">
        <v>0.025</v>
      </c>
      <c r="I907" s="76">
        <v>0.0103</v>
      </c>
      <c r="J907" s="88">
        <v>0</v>
      </c>
      <c r="K907" s="88">
        <v>0.0103</v>
      </c>
      <c r="L907" s="76">
        <f>+K907-((K907*0.0002*0.125)+(K907*(1-0.0002)*0.26))</f>
        <v>0.007622278099999999</v>
      </c>
      <c r="M907" s="76">
        <f aca="true" t="shared" si="33" ref="M907:M912">J907+L907</f>
        <v>0.007622278099999999</v>
      </c>
      <c r="N907" s="77" t="s">
        <v>251</v>
      </c>
    </row>
    <row r="908" spans="1:14" ht="23.25" customHeight="1">
      <c r="A908" s="10"/>
      <c r="B908" s="1" t="s">
        <v>184</v>
      </c>
      <c r="C908" s="108" t="s">
        <v>354</v>
      </c>
      <c r="D908" s="1" t="s">
        <v>411</v>
      </c>
      <c r="E908" s="83">
        <v>44377</v>
      </c>
      <c r="F908" s="80">
        <v>44378</v>
      </c>
      <c r="G908" s="80">
        <v>44383</v>
      </c>
      <c r="H908" s="132">
        <v>0.025</v>
      </c>
      <c r="I908" s="76">
        <v>0.2075</v>
      </c>
      <c r="J908" s="88">
        <v>0</v>
      </c>
      <c r="K908" s="88">
        <v>0.2075</v>
      </c>
      <c r="L908" s="76">
        <f>+K908-((K908*0.0002*0.125)+(K908*(1-0.0002)*0.26))</f>
        <v>0.1535556025</v>
      </c>
      <c r="M908" s="76">
        <f t="shared" si="33"/>
        <v>0.1535556025</v>
      </c>
      <c r="N908" s="77" t="s">
        <v>251</v>
      </c>
    </row>
    <row r="909" spans="1:14" ht="23.25" customHeight="1">
      <c r="A909" s="10"/>
      <c r="B909" s="1" t="s">
        <v>192</v>
      </c>
      <c r="C909" s="110" t="s">
        <v>355</v>
      </c>
      <c r="D909" s="109" t="s">
        <v>411</v>
      </c>
      <c r="E909" s="83">
        <v>44377</v>
      </c>
      <c r="F909" s="80">
        <v>44378</v>
      </c>
      <c r="G909" s="80">
        <v>44383</v>
      </c>
      <c r="H909" s="132">
        <v>0.025</v>
      </c>
      <c r="I909" s="76">
        <v>0.2096</v>
      </c>
      <c r="J909" s="88">
        <v>0</v>
      </c>
      <c r="K909" s="88">
        <v>0.2096</v>
      </c>
      <c r="L909" s="76">
        <f>+K909-((K909*0.0002*0.125)+(K909*(1-0.0002)*0.26))</f>
        <v>0.1551096592</v>
      </c>
      <c r="M909" s="76">
        <f t="shared" si="33"/>
        <v>0.1551096592</v>
      </c>
      <c r="N909" s="77" t="s">
        <v>251</v>
      </c>
    </row>
    <row r="910" spans="1:14" ht="23.25" customHeight="1">
      <c r="A910" s="10"/>
      <c r="B910" s="1" t="s">
        <v>311</v>
      </c>
      <c r="C910" s="79" t="s">
        <v>425</v>
      </c>
      <c r="D910" s="1" t="s">
        <v>411</v>
      </c>
      <c r="E910" s="83">
        <v>44377</v>
      </c>
      <c r="F910" s="80">
        <v>44378</v>
      </c>
      <c r="G910" s="80">
        <v>44383</v>
      </c>
      <c r="H910" s="132">
        <v>0.015</v>
      </c>
      <c r="I910" s="76">
        <v>0.0061</v>
      </c>
      <c r="J910" s="88">
        <v>0</v>
      </c>
      <c r="K910" s="88">
        <v>0.0061</v>
      </c>
      <c r="L910" s="76">
        <f>+K910-((K910*0.0000001*0.125)+(K910*(1-0.0000001)*0.26))</f>
        <v>0.00451400008235</v>
      </c>
      <c r="M910" s="76">
        <f t="shared" si="33"/>
        <v>0.00451400008235</v>
      </c>
      <c r="N910" s="77" t="s">
        <v>251</v>
      </c>
    </row>
    <row r="911" spans="1:14" ht="23.25" customHeight="1">
      <c r="A911" s="10"/>
      <c r="B911" s="1" t="s">
        <v>189</v>
      </c>
      <c r="C911" s="108" t="s">
        <v>356</v>
      </c>
      <c r="D911" s="1" t="s">
        <v>411</v>
      </c>
      <c r="E911" s="83">
        <v>44377</v>
      </c>
      <c r="F911" s="80">
        <v>44378</v>
      </c>
      <c r="G911" s="80">
        <v>44383</v>
      </c>
      <c r="H911" s="132">
        <v>0.015</v>
      </c>
      <c r="I911" s="76">
        <v>0.1124</v>
      </c>
      <c r="J911" s="88">
        <v>0</v>
      </c>
      <c r="K911" s="88">
        <v>0.1124</v>
      </c>
      <c r="L911" s="76">
        <f>+K911-((K911*0.0000001*0.125)+(K911*(1-0.0000001)*0.26))</f>
        <v>0.0831760015174</v>
      </c>
      <c r="M911" s="76">
        <f t="shared" si="33"/>
        <v>0.0831760015174</v>
      </c>
      <c r="N911" s="77" t="s">
        <v>251</v>
      </c>
    </row>
    <row r="912" spans="1:14" ht="23.25" customHeight="1">
      <c r="A912" s="10"/>
      <c r="B912" s="1" t="s">
        <v>197</v>
      </c>
      <c r="C912" s="110" t="s">
        <v>357</v>
      </c>
      <c r="D912" s="109" t="s">
        <v>411</v>
      </c>
      <c r="E912" s="83">
        <v>44377</v>
      </c>
      <c r="F912" s="80">
        <v>44378</v>
      </c>
      <c r="G912" s="80">
        <v>44383</v>
      </c>
      <c r="H912" s="132">
        <v>0.015</v>
      </c>
      <c r="I912" s="76">
        <v>0.1145</v>
      </c>
      <c r="J912" s="88">
        <v>0</v>
      </c>
      <c r="K912" s="88">
        <v>0.1145</v>
      </c>
      <c r="L912" s="76">
        <f>+K912-((K912*0.0000001*0.125)+(K912*(1-0.0000001)*0.26))</f>
        <v>0.08473000154575</v>
      </c>
      <c r="M912" s="76">
        <f t="shared" si="33"/>
        <v>0.08473000154575</v>
      </c>
      <c r="N912" s="77" t="s">
        <v>251</v>
      </c>
    </row>
    <row r="913" spans="1:14" ht="23.25" customHeight="1">
      <c r="A913" s="10"/>
      <c r="B913" s="1" t="s">
        <v>148</v>
      </c>
      <c r="C913" s="79" t="s">
        <v>362</v>
      </c>
      <c r="D913" s="1" t="s">
        <v>410</v>
      </c>
      <c r="E913" s="83">
        <v>44377</v>
      </c>
      <c r="F913" s="80">
        <v>44378</v>
      </c>
      <c r="G913" s="80">
        <v>44383</v>
      </c>
      <c r="H913" s="132">
        <v>0.015</v>
      </c>
      <c r="I913" s="76">
        <v>0.0187</v>
      </c>
      <c r="J913" s="88">
        <v>0</v>
      </c>
      <c r="K913" s="88">
        <v>0.0187</v>
      </c>
      <c r="L913" s="76">
        <f>+K913-((K913*0.458*0.125)+(K913*(1-0.458)*0.26))</f>
        <v>0.014994221000000002</v>
      </c>
      <c r="M913" s="76">
        <v>0</v>
      </c>
      <c r="N913" s="77" t="s">
        <v>248</v>
      </c>
    </row>
    <row r="914" spans="1:14" ht="23.25" customHeight="1">
      <c r="A914" s="10"/>
      <c r="B914" s="1" t="s">
        <v>308</v>
      </c>
      <c r="C914" s="79" t="s">
        <v>426</v>
      </c>
      <c r="D914" s="1" t="s">
        <v>411</v>
      </c>
      <c r="E914" s="83">
        <v>44377</v>
      </c>
      <c r="F914" s="80">
        <v>44378</v>
      </c>
      <c r="G914" s="80">
        <v>44383</v>
      </c>
      <c r="H914" s="132">
        <v>0.015</v>
      </c>
      <c r="I914" s="76">
        <v>0.0062</v>
      </c>
      <c r="J914" s="88">
        <v>0</v>
      </c>
      <c r="K914" s="88">
        <v>0.0062</v>
      </c>
      <c r="L914" s="76">
        <f>+K914-((K914*0.458*0.125)+(K914*(1-0.458)*0.26))</f>
        <v>0.004971346</v>
      </c>
      <c r="M914" s="76">
        <f>J914+L914</f>
        <v>0.004971346</v>
      </c>
      <c r="N914" s="77" t="s">
        <v>251</v>
      </c>
    </row>
    <row r="915" spans="1:14" ht="23.25" customHeight="1">
      <c r="A915" s="10"/>
      <c r="B915" s="1" t="s">
        <v>186</v>
      </c>
      <c r="C915" s="108" t="s">
        <v>363</v>
      </c>
      <c r="D915" s="1" t="s">
        <v>411</v>
      </c>
      <c r="E915" s="83">
        <v>44377</v>
      </c>
      <c r="F915" s="80">
        <v>44378</v>
      </c>
      <c r="G915" s="80">
        <v>44383</v>
      </c>
      <c r="H915" s="132">
        <v>0.015</v>
      </c>
      <c r="I915" s="76">
        <v>0.1137</v>
      </c>
      <c r="J915" s="88">
        <v>0</v>
      </c>
      <c r="K915" s="88">
        <v>0.1137</v>
      </c>
      <c r="L915" s="76">
        <f>+K915-((K915*0.458*0.125)+(K915*(1-0.458)*0.26))</f>
        <v>0.09116807099999999</v>
      </c>
      <c r="M915" s="76">
        <f>J915+L915</f>
        <v>0.09116807099999999</v>
      </c>
      <c r="N915" s="77" t="s">
        <v>251</v>
      </c>
    </row>
    <row r="916" spans="1:14" ht="23.25" customHeight="1">
      <c r="A916" s="10"/>
      <c r="B916" s="1" t="s">
        <v>194</v>
      </c>
      <c r="C916" s="110" t="s">
        <v>364</v>
      </c>
      <c r="D916" s="109" t="s">
        <v>411</v>
      </c>
      <c r="E916" s="83">
        <v>44377</v>
      </c>
      <c r="F916" s="80">
        <v>44378</v>
      </c>
      <c r="G916" s="80">
        <v>44383</v>
      </c>
      <c r="H916" s="132">
        <v>0.015</v>
      </c>
      <c r="I916" s="76">
        <v>0.1172</v>
      </c>
      <c r="J916" s="88">
        <v>0</v>
      </c>
      <c r="K916" s="88">
        <v>0.1172</v>
      </c>
      <c r="L916" s="76">
        <f>+K916-((K916*0.458*0.125)+(K916*(1-0.458)*0.26))</f>
        <v>0.093974476</v>
      </c>
      <c r="M916" s="76">
        <f>J916+L916</f>
        <v>0.093974476</v>
      </c>
      <c r="N916" s="77" t="s">
        <v>251</v>
      </c>
    </row>
    <row r="917" spans="1:14" ht="23.25" customHeight="1">
      <c r="A917" s="10"/>
      <c r="B917" s="1" t="s">
        <v>200</v>
      </c>
      <c r="C917" s="110" t="s">
        <v>365</v>
      </c>
      <c r="D917" s="1" t="s">
        <v>410</v>
      </c>
      <c r="E917" s="83">
        <v>44377</v>
      </c>
      <c r="F917" s="80">
        <v>44378</v>
      </c>
      <c r="G917" s="80">
        <v>44383</v>
      </c>
      <c r="H917" s="132">
        <v>0.015</v>
      </c>
      <c r="I917" s="76">
        <v>0.3704</v>
      </c>
      <c r="J917" s="88">
        <v>0</v>
      </c>
      <c r="K917" s="88">
        <v>0.3704</v>
      </c>
      <c r="L917" s="76">
        <f>+K917-((K917*0.458*0.125)+(K917*(1-0.458)*0.26))</f>
        <v>0.296997832</v>
      </c>
      <c r="M917" s="76">
        <v>0</v>
      </c>
      <c r="N917" s="77" t="s">
        <v>248</v>
      </c>
    </row>
    <row r="918" spans="1:14" ht="23.25" customHeight="1">
      <c r="A918" s="10"/>
      <c r="B918" s="1" t="s">
        <v>307</v>
      </c>
      <c r="C918" s="79" t="s">
        <v>420</v>
      </c>
      <c r="D918" s="1" t="s">
        <v>411</v>
      </c>
      <c r="E918" s="83">
        <v>44377</v>
      </c>
      <c r="F918" s="80">
        <v>44378</v>
      </c>
      <c r="G918" s="80">
        <v>44383</v>
      </c>
      <c r="H918" s="132">
        <v>0.015</v>
      </c>
      <c r="I918" s="76">
        <v>0.0064</v>
      </c>
      <c r="J918" s="88">
        <v>0</v>
      </c>
      <c r="K918" s="88">
        <v>0.0064</v>
      </c>
      <c r="L918" s="76">
        <f>+K918-((K918*0.603*0.125)+(K918*(1-0.603)*0.26))</f>
        <v>0.005256992</v>
      </c>
      <c r="M918" s="76">
        <f aca="true" t="shared" si="34" ref="M918:M928">J918+L918</f>
        <v>0.005256992</v>
      </c>
      <c r="N918" s="77" t="s">
        <v>251</v>
      </c>
    </row>
    <row r="919" spans="1:14" ht="23.25" customHeight="1">
      <c r="A919" s="10"/>
      <c r="B919" s="1" t="s">
        <v>185</v>
      </c>
      <c r="C919" s="108" t="s">
        <v>366</v>
      </c>
      <c r="D919" s="1" t="s">
        <v>411</v>
      </c>
      <c r="E919" s="83">
        <v>44377</v>
      </c>
      <c r="F919" s="80">
        <v>44378</v>
      </c>
      <c r="G919" s="80">
        <v>44383</v>
      </c>
      <c r="H919" s="132">
        <v>0.015</v>
      </c>
      <c r="I919" s="76">
        <v>0.1067</v>
      </c>
      <c r="J919" s="88">
        <v>0</v>
      </c>
      <c r="K919" s="88">
        <v>0.1067</v>
      </c>
      <c r="L919" s="76">
        <f>+K919-((K919*0.603*0.125)+(K919*(1-0.603)*0.26))</f>
        <v>0.0876439135</v>
      </c>
      <c r="M919" s="76">
        <f t="shared" si="34"/>
        <v>0.0876439135</v>
      </c>
      <c r="N919" s="77" t="s">
        <v>251</v>
      </c>
    </row>
    <row r="920" spans="1:14" ht="23.25" customHeight="1">
      <c r="A920" s="10"/>
      <c r="B920" s="1" t="s">
        <v>193</v>
      </c>
      <c r="C920" s="110" t="s">
        <v>367</v>
      </c>
      <c r="D920" s="109" t="s">
        <v>411</v>
      </c>
      <c r="E920" s="83">
        <v>44377</v>
      </c>
      <c r="F920" s="80">
        <v>44378</v>
      </c>
      <c r="G920" s="80">
        <v>44383</v>
      </c>
      <c r="H920" s="132">
        <v>0.015</v>
      </c>
      <c r="I920" s="76">
        <v>0.1042</v>
      </c>
      <c r="J920" s="88">
        <v>0</v>
      </c>
      <c r="K920" s="88">
        <v>0.1042</v>
      </c>
      <c r="L920" s="76">
        <f>+K920-((K920*0.603*0.125)+(K920*(1-0.603)*0.26))</f>
        <v>0.085590401</v>
      </c>
      <c r="M920" s="76">
        <f t="shared" si="34"/>
        <v>0.085590401</v>
      </c>
      <c r="N920" s="77" t="s">
        <v>251</v>
      </c>
    </row>
    <row r="921" spans="1:14" ht="23.25" customHeight="1">
      <c r="A921" s="10"/>
      <c r="B921" s="1" t="s">
        <v>309</v>
      </c>
      <c r="C921" s="79" t="s">
        <v>427</v>
      </c>
      <c r="D921" s="1" t="s">
        <v>411</v>
      </c>
      <c r="E921" s="83">
        <v>44377</v>
      </c>
      <c r="F921" s="80">
        <v>44378</v>
      </c>
      <c r="G921" s="80">
        <v>44383</v>
      </c>
      <c r="H921" s="132">
        <v>0.015</v>
      </c>
      <c r="I921" s="76">
        <v>0.0064</v>
      </c>
      <c r="J921" s="88">
        <v>0</v>
      </c>
      <c r="K921" s="88">
        <v>0.0064</v>
      </c>
      <c r="L921" s="76">
        <f>+K921-((K921*0.001*0.125)+(K921*(1-0.001)*0.26))</f>
        <v>0.004736864</v>
      </c>
      <c r="M921" s="76">
        <f t="shared" si="34"/>
        <v>0.004736864</v>
      </c>
      <c r="N921" s="77" t="s">
        <v>251</v>
      </c>
    </row>
    <row r="922" spans="1:14" ht="23.25" customHeight="1">
      <c r="A922" s="10"/>
      <c r="B922" s="1" t="s">
        <v>187</v>
      </c>
      <c r="C922" s="108" t="s">
        <v>368</v>
      </c>
      <c r="D922" s="1" t="s">
        <v>411</v>
      </c>
      <c r="E922" s="83">
        <v>44377</v>
      </c>
      <c r="F922" s="80">
        <v>44378</v>
      </c>
      <c r="G922" s="80">
        <v>44383</v>
      </c>
      <c r="H922" s="132">
        <v>0.015</v>
      </c>
      <c r="I922" s="76">
        <v>0.1123</v>
      </c>
      <c r="J922" s="88">
        <v>0</v>
      </c>
      <c r="K922" s="88">
        <v>0.1123</v>
      </c>
      <c r="L922" s="76">
        <f>+K922-((K922*0.001*0.125)+(K922*(1-0.001)*0.26))</f>
        <v>0.0831171605</v>
      </c>
      <c r="M922" s="76">
        <f t="shared" si="34"/>
        <v>0.0831171605</v>
      </c>
      <c r="N922" s="77" t="s">
        <v>251</v>
      </c>
    </row>
    <row r="923" spans="1:14" ht="23.25" customHeight="1">
      <c r="A923" s="10"/>
      <c r="B923" s="1" t="s">
        <v>195</v>
      </c>
      <c r="C923" s="110" t="s">
        <v>369</v>
      </c>
      <c r="D923" s="109" t="s">
        <v>411</v>
      </c>
      <c r="E923" s="83">
        <v>44377</v>
      </c>
      <c r="F923" s="80">
        <v>44378</v>
      </c>
      <c r="G923" s="80">
        <v>44383</v>
      </c>
      <c r="H923" s="132">
        <v>0.015</v>
      </c>
      <c r="I923" s="76">
        <v>0.1161</v>
      </c>
      <c r="J923" s="88">
        <v>0</v>
      </c>
      <c r="K923" s="88">
        <v>0.1161</v>
      </c>
      <c r="L923" s="76">
        <f>+K923-((K923*0.001*0.125)+(K923*(1-0.001)*0.26))</f>
        <v>0.0859296735</v>
      </c>
      <c r="M923" s="76">
        <f t="shared" si="34"/>
        <v>0.0859296735</v>
      </c>
      <c r="N923" s="77" t="s">
        <v>251</v>
      </c>
    </row>
    <row r="924" spans="1:14" ht="23.25" customHeight="1">
      <c r="A924" s="10"/>
      <c r="B924" s="1" t="s">
        <v>312</v>
      </c>
      <c r="C924" s="79" t="s">
        <v>428</v>
      </c>
      <c r="D924" s="1" t="s">
        <v>411</v>
      </c>
      <c r="E924" s="83">
        <v>44377</v>
      </c>
      <c r="F924" s="80">
        <v>44378</v>
      </c>
      <c r="G924" s="80">
        <v>44383</v>
      </c>
      <c r="H924" s="132">
        <v>0.035</v>
      </c>
      <c r="I924" s="76">
        <v>0.0135</v>
      </c>
      <c r="J924" s="88">
        <v>0</v>
      </c>
      <c r="K924" s="88">
        <v>0.0135</v>
      </c>
      <c r="L924" s="76">
        <f>+K924-((K924*0.0075*0.125)+(K924*(1-0.0075)*0.26))</f>
        <v>0.01000366875</v>
      </c>
      <c r="M924" s="76">
        <f t="shared" si="34"/>
        <v>0.01000366875</v>
      </c>
      <c r="N924" s="77" t="s">
        <v>251</v>
      </c>
    </row>
    <row r="925" spans="1:14" ht="23.25" customHeight="1">
      <c r="A925" s="10"/>
      <c r="B925" s="1" t="s">
        <v>190</v>
      </c>
      <c r="C925" s="108" t="s">
        <v>370</v>
      </c>
      <c r="D925" s="1" t="s">
        <v>411</v>
      </c>
      <c r="E925" s="83">
        <v>44377</v>
      </c>
      <c r="F925" s="80">
        <v>44378</v>
      </c>
      <c r="G925" s="80">
        <v>44383</v>
      </c>
      <c r="H925" s="132">
        <v>0.035</v>
      </c>
      <c r="I925" s="76">
        <v>0.2555</v>
      </c>
      <c r="J925" s="88">
        <v>0</v>
      </c>
      <c r="K925" s="88">
        <v>0.2555</v>
      </c>
      <c r="L925" s="76">
        <f>+K925-((K925*0.0075*0.125)+(K925*(1-0.0075)*0.26))</f>
        <v>0.18932869375</v>
      </c>
      <c r="M925" s="76">
        <f t="shared" si="34"/>
        <v>0.18932869375</v>
      </c>
      <c r="N925" s="77" t="s">
        <v>251</v>
      </c>
    </row>
    <row r="926" spans="1:14" ht="23.25" customHeight="1">
      <c r="A926" s="10"/>
      <c r="B926" s="1" t="s">
        <v>198</v>
      </c>
      <c r="C926" s="110" t="s">
        <v>371</v>
      </c>
      <c r="D926" s="109" t="s">
        <v>411</v>
      </c>
      <c r="E926" s="83">
        <v>44377</v>
      </c>
      <c r="F926" s="80">
        <v>44378</v>
      </c>
      <c r="G926" s="80">
        <v>44383</v>
      </c>
      <c r="H926" s="132">
        <v>0.035</v>
      </c>
      <c r="I926" s="76">
        <v>0.2564</v>
      </c>
      <c r="J926" s="88">
        <v>0</v>
      </c>
      <c r="K926" s="88">
        <v>0.2564</v>
      </c>
      <c r="L926" s="76">
        <f>+K926-((K926*0.0075*0.125)+(K926*(1-0.0075)*0.26))</f>
        <v>0.189995605</v>
      </c>
      <c r="M926" s="76">
        <f t="shared" si="34"/>
        <v>0.189995605</v>
      </c>
      <c r="N926" s="77" t="s">
        <v>251</v>
      </c>
    </row>
    <row r="927" spans="1:14" ht="23.25" customHeight="1">
      <c r="A927" s="10"/>
      <c r="B927" s="1" t="s">
        <v>516</v>
      </c>
      <c r="C927" s="79" t="s">
        <v>518</v>
      </c>
      <c r="D927" s="1" t="s">
        <v>411</v>
      </c>
      <c r="E927" s="83">
        <v>44377</v>
      </c>
      <c r="F927" s="80">
        <v>44378</v>
      </c>
      <c r="G927" s="80">
        <v>44383</v>
      </c>
      <c r="H927" s="132">
        <v>0.02</v>
      </c>
      <c r="I927" s="88">
        <v>0.1347</v>
      </c>
      <c r="J927" s="88">
        <v>0</v>
      </c>
      <c r="K927" s="88">
        <v>0.1347</v>
      </c>
      <c r="L927" s="76">
        <f>+K927-((K927*0.505*0.125)+(K927*(1-0.505)*0.26))</f>
        <v>0.10886117249999999</v>
      </c>
      <c r="M927" s="76">
        <f t="shared" si="34"/>
        <v>0.10886117249999999</v>
      </c>
      <c r="N927" s="77" t="s">
        <v>251</v>
      </c>
    </row>
    <row r="928" spans="1:14" ht="23.25" customHeight="1">
      <c r="A928" s="10"/>
      <c r="B928" s="1" t="s">
        <v>517</v>
      </c>
      <c r="C928" s="79" t="s">
        <v>519</v>
      </c>
      <c r="D928" s="1" t="s">
        <v>411</v>
      </c>
      <c r="E928" s="83">
        <v>44377</v>
      </c>
      <c r="F928" s="80">
        <v>44378</v>
      </c>
      <c r="G928" s="80">
        <v>44383</v>
      </c>
      <c r="H928" s="132">
        <v>0.02</v>
      </c>
      <c r="I928" s="88">
        <v>0.1356</v>
      </c>
      <c r="J928" s="88">
        <v>0</v>
      </c>
      <c r="K928" s="88">
        <v>0.1356</v>
      </c>
      <c r="L928" s="76">
        <f>+K928-((K928*0.505*0.125)+(K928*(1-0.505)*0.26))</f>
        <v>0.10958852999999999</v>
      </c>
      <c r="M928" s="76">
        <f t="shared" si="34"/>
        <v>0.10958852999999999</v>
      </c>
      <c r="N928" s="77" t="s">
        <v>251</v>
      </c>
    </row>
    <row r="929" spans="2:14" ht="23.25" customHeight="1">
      <c r="B929" s="1" t="s">
        <v>173</v>
      </c>
      <c r="C929" s="110" t="s">
        <v>372</v>
      </c>
      <c r="D929" s="1" t="s">
        <v>410</v>
      </c>
      <c r="E929" s="83">
        <v>44377</v>
      </c>
      <c r="F929" s="80">
        <v>44378</v>
      </c>
      <c r="G929" s="80">
        <v>44383</v>
      </c>
      <c r="H929" s="132">
        <v>0.01</v>
      </c>
      <c r="I929" s="76">
        <v>0.0138</v>
      </c>
      <c r="J929" s="88">
        <v>0</v>
      </c>
      <c r="K929" s="88">
        <v>0.0138</v>
      </c>
      <c r="L929" s="76">
        <f>+K929-((K929*0.329*0.125)+(K929*(1-0.329)*0.26))</f>
        <v>0.010824927</v>
      </c>
      <c r="M929" s="76">
        <v>0</v>
      </c>
      <c r="N929" s="77" t="s">
        <v>248</v>
      </c>
    </row>
    <row r="930" spans="2:14" ht="23.25" customHeight="1">
      <c r="B930" s="1" t="s">
        <v>150</v>
      </c>
      <c r="C930" s="79" t="s">
        <v>377</v>
      </c>
      <c r="D930" s="1" t="s">
        <v>410</v>
      </c>
      <c r="E930" s="83">
        <v>44377</v>
      </c>
      <c r="F930" s="80">
        <v>44378</v>
      </c>
      <c r="G930" s="80">
        <v>44383</v>
      </c>
      <c r="H930" s="132">
        <v>0.025</v>
      </c>
      <c r="I930" s="76">
        <v>0.0354</v>
      </c>
      <c r="J930" s="88">
        <v>0</v>
      </c>
      <c r="K930" s="88">
        <v>0.0354</v>
      </c>
      <c r="L930" s="76">
        <f>+K930-((K930*0.002*0.125)+(K930*(1-0.002)*0.26))</f>
        <v>0.026205558000000004</v>
      </c>
      <c r="M930" s="76">
        <v>0</v>
      </c>
      <c r="N930" s="77" t="s">
        <v>248</v>
      </c>
    </row>
    <row r="931" spans="2:14" ht="23.25" customHeight="1">
      <c r="B931" s="1" t="s">
        <v>513</v>
      </c>
      <c r="C931" s="79" t="s">
        <v>512</v>
      </c>
      <c r="D931" s="1" t="s">
        <v>410</v>
      </c>
      <c r="E931" s="83">
        <v>44377</v>
      </c>
      <c r="F931" s="80">
        <v>44378</v>
      </c>
      <c r="G931" s="80">
        <v>44383</v>
      </c>
      <c r="H931" s="132">
        <v>0.025</v>
      </c>
      <c r="I931" s="76">
        <v>0.0315</v>
      </c>
      <c r="J931" s="88">
        <v>0</v>
      </c>
      <c r="K931" s="88">
        <v>0.0315</v>
      </c>
      <c r="L931" s="76">
        <f>+K931-((K931*0.002*0.125)+(K931*(1-0.002)*0.26))</f>
        <v>0.023318505000000003</v>
      </c>
      <c r="M931" s="76">
        <v>0</v>
      </c>
      <c r="N931" s="77" t="s">
        <v>248</v>
      </c>
    </row>
    <row r="932" spans="2:14" ht="23.25" customHeight="1">
      <c r="B932" s="1" t="s">
        <v>441</v>
      </c>
      <c r="C932" s="79" t="s">
        <v>444</v>
      </c>
      <c r="D932" s="1" t="s">
        <v>410</v>
      </c>
      <c r="E932" s="83">
        <v>44377</v>
      </c>
      <c r="F932" s="80">
        <v>44378</v>
      </c>
      <c r="G932" s="80">
        <v>44383</v>
      </c>
      <c r="H932" s="132">
        <v>0.0075</v>
      </c>
      <c r="I932" s="88">
        <v>0.0086</v>
      </c>
      <c r="J932" s="88">
        <v>0</v>
      </c>
      <c r="K932" s="88">
        <v>0.0086</v>
      </c>
      <c r="L932" s="76">
        <f>+K932-((K932*0.363*0.125)+(K932*(1-0.363)*0.26))</f>
        <v>0.006785443</v>
      </c>
      <c r="M932" s="76">
        <v>0</v>
      </c>
      <c r="N932" s="77" t="s">
        <v>248</v>
      </c>
    </row>
    <row r="933" spans="2:14" ht="23.25" customHeight="1">
      <c r="B933" s="1" t="s">
        <v>440</v>
      </c>
      <c r="C933" s="79" t="s">
        <v>443</v>
      </c>
      <c r="D933" s="1" t="s">
        <v>410</v>
      </c>
      <c r="E933" s="83">
        <v>44377</v>
      </c>
      <c r="F933" s="80">
        <v>44378</v>
      </c>
      <c r="G933" s="80">
        <v>44383</v>
      </c>
      <c r="H933" s="132">
        <v>0.0075</v>
      </c>
      <c r="I933" s="88">
        <v>0.1753</v>
      </c>
      <c r="J933" s="88">
        <v>0</v>
      </c>
      <c r="K933" s="88">
        <v>0.1753</v>
      </c>
      <c r="L933" s="76">
        <f>+K933-((K933*0.363*0.125)+(K933*(1-0.363)*0.26))</f>
        <v>0.1383125765</v>
      </c>
      <c r="M933" s="76">
        <v>0</v>
      </c>
      <c r="N933" s="77" t="s">
        <v>248</v>
      </c>
    </row>
    <row r="934" spans="2:14" ht="23.25" customHeight="1">
      <c r="B934" s="1" t="s">
        <v>299</v>
      </c>
      <c r="C934" s="79" t="s">
        <v>520</v>
      </c>
      <c r="D934" s="1" t="s">
        <v>410</v>
      </c>
      <c r="E934" s="83">
        <v>44377</v>
      </c>
      <c r="F934" s="80">
        <v>44378</v>
      </c>
      <c r="G934" s="80">
        <v>44383</v>
      </c>
      <c r="H934" s="132">
        <v>0.012</v>
      </c>
      <c r="I934" s="76">
        <v>0.0148</v>
      </c>
      <c r="J934" s="88">
        <v>0</v>
      </c>
      <c r="K934" s="88">
        <v>0.0148</v>
      </c>
      <c r="L934" s="76">
        <f>+K934-((K934*0.334*0.125)+(K934*(1-0.334)*0.26))</f>
        <v>0.011619332</v>
      </c>
      <c r="M934" s="76">
        <v>0</v>
      </c>
      <c r="N934" s="77" t="s">
        <v>248</v>
      </c>
    </row>
    <row r="935" spans="2:14" ht="23.25" customHeight="1">
      <c r="B935" s="1" t="s">
        <v>182</v>
      </c>
      <c r="C935" s="108" t="s">
        <v>479</v>
      </c>
      <c r="D935" s="1" t="s">
        <v>410</v>
      </c>
      <c r="E935" s="83">
        <v>44377</v>
      </c>
      <c r="F935" s="80">
        <v>44378</v>
      </c>
      <c r="G935" s="80">
        <v>44383</v>
      </c>
      <c r="H935" s="132">
        <v>0.012</v>
      </c>
      <c r="I935" s="76">
        <v>0.2891</v>
      </c>
      <c r="J935" s="88">
        <v>0</v>
      </c>
      <c r="K935" s="88">
        <v>0.2891</v>
      </c>
      <c r="L935" s="76">
        <f>+K935-((K935*0.334*0.125)+(K935*(1-0.334)*0.26))</f>
        <v>0.226969519</v>
      </c>
      <c r="M935" s="76">
        <v>0</v>
      </c>
      <c r="N935" s="77" t="s">
        <v>248</v>
      </c>
    </row>
    <row r="936" spans="2:14" ht="23.25" customHeight="1">
      <c r="B936" s="1" t="s">
        <v>202</v>
      </c>
      <c r="C936" s="110" t="s">
        <v>480</v>
      </c>
      <c r="D936" s="1" t="s">
        <v>410</v>
      </c>
      <c r="E936" s="83">
        <v>44377</v>
      </c>
      <c r="F936" s="80">
        <v>44378</v>
      </c>
      <c r="G936" s="80">
        <v>44383</v>
      </c>
      <c r="H936" s="132">
        <v>0.012</v>
      </c>
      <c r="I936" s="76">
        <v>0.2927</v>
      </c>
      <c r="J936" s="88">
        <v>0</v>
      </c>
      <c r="K936" s="88">
        <v>0.2927</v>
      </c>
      <c r="L936" s="76">
        <f>+K936-((K936*0.334*0.125)+(K936*(1-0.334)*0.26))</f>
        <v>0.22979584300000003</v>
      </c>
      <c r="M936" s="76">
        <v>0</v>
      </c>
      <c r="N936" s="77" t="s">
        <v>248</v>
      </c>
    </row>
    <row r="937" spans="2:14" ht="23.25" customHeight="1">
      <c r="B937" s="1" t="s">
        <v>146</v>
      </c>
      <c r="C937" s="79" t="s">
        <v>380</v>
      </c>
      <c r="D937" s="1" t="s">
        <v>410</v>
      </c>
      <c r="E937" s="83">
        <v>44377</v>
      </c>
      <c r="F937" s="80">
        <v>44378</v>
      </c>
      <c r="G937" s="80">
        <v>44383</v>
      </c>
      <c r="H937" s="132">
        <v>0.03</v>
      </c>
      <c r="I937" s="76">
        <v>0.0463</v>
      </c>
      <c r="J937" s="88">
        <v>0</v>
      </c>
      <c r="K937" s="88">
        <v>0.0463</v>
      </c>
      <c r="L937" s="76">
        <f>+K937-((K937*0.009*0.125)+(K937*(1-0.009)*0.26))</f>
        <v>0.0343182545</v>
      </c>
      <c r="M937" s="76">
        <v>0</v>
      </c>
      <c r="N937" s="77" t="s">
        <v>248</v>
      </c>
    </row>
    <row r="938" spans="2:14" ht="23.25" customHeight="1">
      <c r="B938" s="1" t="s">
        <v>163</v>
      </c>
      <c r="C938" s="108" t="s">
        <v>381</v>
      </c>
      <c r="D938" s="1" t="s">
        <v>410</v>
      </c>
      <c r="E938" s="83">
        <v>44377</v>
      </c>
      <c r="F938" s="80">
        <v>44378</v>
      </c>
      <c r="G938" s="80">
        <v>44383</v>
      </c>
      <c r="H938" s="132">
        <v>0.03</v>
      </c>
      <c r="I938" s="76">
        <v>0.0417</v>
      </c>
      <c r="J938" s="88">
        <v>0</v>
      </c>
      <c r="K938" s="88">
        <v>0.0417</v>
      </c>
      <c r="L938" s="76">
        <f>+K938-((K938*0.009*0.125)+(K938*(1-0.009)*0.26))</f>
        <v>0.0309086655</v>
      </c>
      <c r="M938" s="76">
        <v>0</v>
      </c>
      <c r="N938" s="77" t="s">
        <v>248</v>
      </c>
    </row>
    <row r="939" spans="2:14" ht="23.25" customHeight="1">
      <c r="B939" s="1" t="s">
        <v>151</v>
      </c>
      <c r="C939" s="79" t="s">
        <v>383</v>
      </c>
      <c r="D939" s="1" t="s">
        <v>410</v>
      </c>
      <c r="E939" s="83">
        <v>44377</v>
      </c>
      <c r="F939" s="80">
        <v>44378</v>
      </c>
      <c r="G939" s="80">
        <v>44383</v>
      </c>
      <c r="H939" s="132">
        <v>0.025</v>
      </c>
      <c r="I939" s="76">
        <v>0.0309</v>
      </c>
      <c r="J939" s="88">
        <v>0</v>
      </c>
      <c r="K939" s="88">
        <v>0.0309</v>
      </c>
      <c r="L939" s="76">
        <f>+K939-((K939*0.052*0.125)+(K939*(1-0.052)*0.26))</f>
        <v>0.023082918</v>
      </c>
      <c r="M939" s="76">
        <v>0</v>
      </c>
      <c r="N939" s="77" t="s">
        <v>248</v>
      </c>
    </row>
    <row r="940" spans="2:14" ht="23.25" customHeight="1">
      <c r="B940" s="1" t="s">
        <v>166</v>
      </c>
      <c r="C940" s="108" t="s">
        <v>384</v>
      </c>
      <c r="D940" s="1" t="s">
        <v>410</v>
      </c>
      <c r="E940" s="83">
        <v>44377</v>
      </c>
      <c r="F940" s="80">
        <v>44378</v>
      </c>
      <c r="G940" s="80">
        <v>44383</v>
      </c>
      <c r="H940" s="132">
        <v>0.025</v>
      </c>
      <c r="I940" s="76">
        <v>0.0307</v>
      </c>
      <c r="J940" s="88">
        <v>0</v>
      </c>
      <c r="K940" s="88">
        <v>0.0307</v>
      </c>
      <c r="L940" s="76">
        <f>+K940-((K940*0.052*0.125)+(K940*(1-0.052)*0.26))</f>
        <v>0.022933514000000002</v>
      </c>
      <c r="M940" s="76">
        <v>0</v>
      </c>
      <c r="N940" s="77" t="s">
        <v>248</v>
      </c>
    </row>
    <row r="941" spans="2:14" ht="23.25" customHeight="1">
      <c r="B941" s="1" t="s">
        <v>149</v>
      </c>
      <c r="C941" s="79" t="s">
        <v>386</v>
      </c>
      <c r="D941" s="1" t="s">
        <v>410</v>
      </c>
      <c r="E941" s="83">
        <v>44377</v>
      </c>
      <c r="F941" s="80">
        <v>44378</v>
      </c>
      <c r="G941" s="80">
        <v>44383</v>
      </c>
      <c r="H941" s="132">
        <v>0.035</v>
      </c>
      <c r="I941" s="76">
        <v>0.0469</v>
      </c>
      <c r="J941" s="88">
        <v>0</v>
      </c>
      <c r="K941" s="88">
        <v>0.0469</v>
      </c>
      <c r="L941" s="76">
        <f>+K941-((K941*0.0075*0.125)+(K941*(1-0.0075)*0.26))</f>
        <v>0.03475348624999999</v>
      </c>
      <c r="M941" s="76">
        <v>0</v>
      </c>
      <c r="N941" s="77" t="s">
        <v>248</v>
      </c>
    </row>
    <row r="942" spans="2:14" ht="23.25" customHeight="1">
      <c r="B942" s="1" t="s">
        <v>165</v>
      </c>
      <c r="C942" s="108" t="s">
        <v>387</v>
      </c>
      <c r="D942" s="1" t="s">
        <v>410</v>
      </c>
      <c r="E942" s="83">
        <v>44377</v>
      </c>
      <c r="F942" s="80">
        <v>44378</v>
      </c>
      <c r="G942" s="80">
        <v>44383</v>
      </c>
      <c r="H942" s="132">
        <v>0.035</v>
      </c>
      <c r="I942" s="76">
        <v>0.0441</v>
      </c>
      <c r="J942" s="88">
        <v>0</v>
      </c>
      <c r="K942" s="88">
        <v>0.0441</v>
      </c>
      <c r="L942" s="76">
        <f>+K942-((K942*0.0075*0.125)+(K942*(1-0.0075)*0.26))</f>
        <v>0.032678651249999996</v>
      </c>
      <c r="M942" s="76">
        <v>0</v>
      </c>
      <c r="N942" s="77" t="s">
        <v>248</v>
      </c>
    </row>
    <row r="943" spans="2:14" ht="23.25" customHeight="1">
      <c r="B943" s="1" t="s">
        <v>153</v>
      </c>
      <c r="C943" s="79" t="s">
        <v>394</v>
      </c>
      <c r="D943" s="1" t="s">
        <v>410</v>
      </c>
      <c r="E943" s="83">
        <v>44377</v>
      </c>
      <c r="F943" s="80">
        <v>44378</v>
      </c>
      <c r="G943" s="80">
        <v>44383</v>
      </c>
      <c r="H943" s="132">
        <v>0.014</v>
      </c>
      <c r="I943" s="76">
        <v>0.0174</v>
      </c>
      <c r="J943" s="88">
        <v>0</v>
      </c>
      <c r="K943" s="88">
        <v>0.0174</v>
      </c>
      <c r="L943" s="76">
        <f>+K943-((K943*0.118*0.125)+(K943*(1-0.118)*0.26))</f>
        <v>0.013153182</v>
      </c>
      <c r="M943" s="76">
        <v>0</v>
      </c>
      <c r="N943" s="77" t="s">
        <v>248</v>
      </c>
    </row>
    <row r="944" spans="2:14" ht="23.25" customHeight="1">
      <c r="B944" s="1" t="s">
        <v>152</v>
      </c>
      <c r="C944" s="79" t="s">
        <v>395</v>
      </c>
      <c r="D944" s="1" t="s">
        <v>410</v>
      </c>
      <c r="E944" s="83">
        <v>44377</v>
      </c>
      <c r="F944" s="80">
        <v>44378</v>
      </c>
      <c r="G944" s="80">
        <v>44383</v>
      </c>
      <c r="H944" s="132">
        <v>0.014</v>
      </c>
      <c r="I944" s="76">
        <v>0.0219</v>
      </c>
      <c r="J944" s="88">
        <v>0</v>
      </c>
      <c r="K944" s="88">
        <v>0.0219</v>
      </c>
      <c r="L944" s="76">
        <f>+K944-((K944*0.118*0.125)+(K944*(1-0.118)*0.26))</f>
        <v>0.016554866999999997</v>
      </c>
      <c r="M944" s="76">
        <v>0</v>
      </c>
      <c r="N944" s="77" t="s">
        <v>248</v>
      </c>
    </row>
    <row r="945" spans="1:14" ht="23.25" customHeight="1">
      <c r="A945" s="10"/>
      <c r="B945" s="1" t="s">
        <v>167</v>
      </c>
      <c r="C945" s="108" t="s">
        <v>396</v>
      </c>
      <c r="D945" s="1" t="s">
        <v>410</v>
      </c>
      <c r="E945" s="83">
        <v>44377</v>
      </c>
      <c r="F945" s="80">
        <v>44378</v>
      </c>
      <c r="G945" s="80">
        <v>44383</v>
      </c>
      <c r="H945" s="132">
        <v>0.014</v>
      </c>
      <c r="I945" s="76">
        <v>0.021</v>
      </c>
      <c r="J945" s="88">
        <v>0</v>
      </c>
      <c r="K945" s="88">
        <v>0.021</v>
      </c>
      <c r="L945" s="76">
        <f>+K945-((K945*0.118*0.125)+(K945*(1-0.118)*0.26))</f>
        <v>0.01587453</v>
      </c>
      <c r="M945" s="76">
        <v>0</v>
      </c>
      <c r="N945" s="77" t="s">
        <v>248</v>
      </c>
    </row>
    <row r="946" spans="1:14" ht="23.25" customHeight="1">
      <c r="A946" s="10"/>
      <c r="B946" s="1" t="s">
        <v>301</v>
      </c>
      <c r="C946" s="79" t="s">
        <v>407</v>
      </c>
      <c r="D946" s="1" t="s">
        <v>410</v>
      </c>
      <c r="E946" s="83">
        <v>44377</v>
      </c>
      <c r="F946" s="80">
        <v>44378</v>
      </c>
      <c r="G946" s="80">
        <v>44383</v>
      </c>
      <c r="H946" s="132">
        <v>0.014</v>
      </c>
      <c r="I946" s="76">
        <v>0.0165</v>
      </c>
      <c r="J946" s="88">
        <v>0</v>
      </c>
      <c r="K946" s="88">
        <v>0.0165</v>
      </c>
      <c r="L946" s="76">
        <f>+K946-((K946*0.118*0.125)+(K946*(1-0.118)*0.26))</f>
        <v>0.012472845</v>
      </c>
      <c r="M946" s="76">
        <v>0</v>
      </c>
      <c r="N946" s="77" t="s">
        <v>248</v>
      </c>
    </row>
    <row r="947" spans="1:14" ht="23.25" customHeight="1">
      <c r="A947" s="10"/>
      <c r="B947" s="1" t="s">
        <v>304</v>
      </c>
      <c r="C947" s="79" t="s">
        <v>408</v>
      </c>
      <c r="D947" s="1" t="s">
        <v>410</v>
      </c>
      <c r="E947" s="83">
        <v>44377</v>
      </c>
      <c r="F947" s="80">
        <v>44378</v>
      </c>
      <c r="G947" s="80">
        <v>44383</v>
      </c>
      <c r="H947" s="132">
        <v>0.01</v>
      </c>
      <c r="I947" s="76">
        <v>0.0127</v>
      </c>
      <c r="J947" s="88">
        <v>0</v>
      </c>
      <c r="K947" s="88">
        <v>0.0127</v>
      </c>
      <c r="L947" s="76">
        <f>+K947-((K947*0.135*0.125)+(K947*(1-0.135)*0.26))</f>
        <v>0.009629457499999999</v>
      </c>
      <c r="M947" s="76">
        <v>0</v>
      </c>
      <c r="N947" s="77" t="s">
        <v>248</v>
      </c>
    </row>
    <row r="948" spans="1:14" ht="23.25" customHeight="1">
      <c r="A948" s="10"/>
      <c r="B948" s="1" t="s">
        <v>183</v>
      </c>
      <c r="C948" s="108" t="s">
        <v>398</v>
      </c>
      <c r="D948" s="1" t="s">
        <v>410</v>
      </c>
      <c r="E948" s="83">
        <v>44377</v>
      </c>
      <c r="F948" s="80">
        <v>44378</v>
      </c>
      <c r="G948" s="80">
        <v>44383</v>
      </c>
      <c r="H948" s="132">
        <v>0.01</v>
      </c>
      <c r="I948" s="76">
        <v>0.0127</v>
      </c>
      <c r="J948" s="88">
        <v>0</v>
      </c>
      <c r="K948" s="88">
        <v>0.0127</v>
      </c>
      <c r="L948" s="76">
        <f>+K948-((K948*0.135*0.125)+(K948*(1-0.135)*0.26))</f>
        <v>0.009629457499999999</v>
      </c>
      <c r="M948" s="76">
        <v>0</v>
      </c>
      <c r="N948" s="77" t="s">
        <v>248</v>
      </c>
    </row>
    <row r="949" spans="1:14" ht="23.25" customHeight="1">
      <c r="A949" s="10"/>
      <c r="B949" s="1" t="s">
        <v>313</v>
      </c>
      <c r="C949" s="79" t="s">
        <v>429</v>
      </c>
      <c r="D949" s="1" t="s">
        <v>411</v>
      </c>
      <c r="E949" s="83">
        <v>44377</v>
      </c>
      <c r="F949" s="80">
        <v>44378</v>
      </c>
      <c r="G949" s="80">
        <v>44383</v>
      </c>
      <c r="H949" s="132">
        <v>0.01</v>
      </c>
      <c r="I949" s="76">
        <v>0.0043</v>
      </c>
      <c r="J949" s="88">
        <v>0</v>
      </c>
      <c r="K949" s="88">
        <v>0.0043</v>
      </c>
      <c r="L949" s="76">
        <f>+K949-((K949*0.135*0.125)+(K949*(1-0.135)*0.26))</f>
        <v>0.0032603675</v>
      </c>
      <c r="M949" s="76">
        <f>J949+L949</f>
        <v>0.0032603675</v>
      </c>
      <c r="N949" s="77" t="s">
        <v>251</v>
      </c>
    </row>
    <row r="950" spans="1:14" ht="23.25" customHeight="1">
      <c r="A950" s="10"/>
      <c r="B950" s="1" t="s">
        <v>305</v>
      </c>
      <c r="C950" s="79" t="s">
        <v>409</v>
      </c>
      <c r="D950" s="1" t="s">
        <v>410</v>
      </c>
      <c r="E950" s="83">
        <v>44377</v>
      </c>
      <c r="F950" s="80">
        <v>44378</v>
      </c>
      <c r="G950" s="80">
        <v>44383</v>
      </c>
      <c r="H950" s="132">
        <v>0.01</v>
      </c>
      <c r="I950" s="76">
        <v>0.0128</v>
      </c>
      <c r="J950" s="88">
        <v>0</v>
      </c>
      <c r="K950" s="88">
        <v>0.0128</v>
      </c>
      <c r="L950" s="76">
        <f>+K950-((K950*0.135*0.125)+(K950*(1-0.135)*0.26))</f>
        <v>0.00970528</v>
      </c>
      <c r="M950" s="76">
        <v>0</v>
      </c>
      <c r="N950" s="77" t="s">
        <v>248</v>
      </c>
    </row>
    <row r="951" spans="1:14" ht="23.25" customHeight="1">
      <c r="A951" s="10"/>
      <c r="B951" s="1" t="s">
        <v>147</v>
      </c>
      <c r="C951" s="79" t="s">
        <v>468</v>
      </c>
      <c r="D951" s="1" t="s">
        <v>410</v>
      </c>
      <c r="E951" s="83">
        <v>44377</v>
      </c>
      <c r="F951" s="80">
        <v>44378</v>
      </c>
      <c r="G951" s="80">
        <v>44383</v>
      </c>
      <c r="H951" s="132">
        <v>0.03</v>
      </c>
      <c r="I951" s="76">
        <v>0.0414</v>
      </c>
      <c r="J951" s="88">
        <v>0</v>
      </c>
      <c r="K951" s="88">
        <v>0.0414</v>
      </c>
      <c r="L951" s="76">
        <f>+K951-((K951*0.16*0.125)+(K951*(1-0.16)*0.26))</f>
        <v>0.03153024</v>
      </c>
      <c r="M951" s="76">
        <v>0</v>
      </c>
      <c r="N951" s="77" t="s">
        <v>248</v>
      </c>
    </row>
    <row r="952" spans="1:14" ht="23.25" customHeight="1">
      <c r="A952" s="10"/>
      <c r="B952" s="1" t="s">
        <v>164</v>
      </c>
      <c r="C952" s="108" t="s">
        <v>469</v>
      </c>
      <c r="D952" s="1" t="s">
        <v>410</v>
      </c>
      <c r="E952" s="83">
        <v>44377</v>
      </c>
      <c r="F952" s="80">
        <v>44378</v>
      </c>
      <c r="G952" s="80">
        <v>44383</v>
      </c>
      <c r="H952" s="132">
        <v>0.03</v>
      </c>
      <c r="I952" s="76">
        <v>0.0388</v>
      </c>
      <c r="J952" s="88">
        <v>0</v>
      </c>
      <c r="K952" s="88">
        <v>0.0388</v>
      </c>
      <c r="L952" s="76">
        <f>+K952-((K952*0.16*0.125)+(K952*(1-0.16)*0.26))</f>
        <v>0.02955008</v>
      </c>
      <c r="M952" s="76">
        <v>0</v>
      </c>
      <c r="N952" s="77" t="s">
        <v>248</v>
      </c>
    </row>
    <row r="953" spans="1:14" ht="23.25" customHeight="1">
      <c r="A953" s="10"/>
      <c r="B953" s="1" t="s">
        <v>132</v>
      </c>
      <c r="C953" s="79" t="s">
        <v>358</v>
      </c>
      <c r="D953" s="1" t="s">
        <v>410</v>
      </c>
      <c r="E953" s="83">
        <v>44403</v>
      </c>
      <c r="F953" s="80">
        <v>44404</v>
      </c>
      <c r="G953" s="80">
        <v>44407</v>
      </c>
      <c r="H953" s="132">
        <v>0.03</v>
      </c>
      <c r="I953" s="76">
        <v>0.0365</v>
      </c>
      <c r="J953" s="88">
        <v>0</v>
      </c>
      <c r="K953" s="88">
        <v>0.0365</v>
      </c>
      <c r="L953" s="76">
        <v>0.028433062</v>
      </c>
      <c r="M953" s="76">
        <f aca="true" t="shared" si="35" ref="M953:M984">J953+L953</f>
        <v>0.028433062</v>
      </c>
      <c r="N953" s="77" t="s">
        <v>249</v>
      </c>
    </row>
    <row r="954" spans="1:14" ht="23.25" customHeight="1">
      <c r="A954" s="10"/>
      <c r="B954" s="109" t="s">
        <v>227</v>
      </c>
      <c r="C954" s="110" t="s">
        <v>359</v>
      </c>
      <c r="D954" s="1" t="s">
        <v>410</v>
      </c>
      <c r="E954" s="205">
        <v>44403</v>
      </c>
      <c r="F954" s="205">
        <v>44404</v>
      </c>
      <c r="G954" s="205">
        <v>44407</v>
      </c>
      <c r="H954" s="132">
        <v>0.03</v>
      </c>
      <c r="I954" s="76">
        <v>0.0362</v>
      </c>
      <c r="J954" s="88">
        <v>0</v>
      </c>
      <c r="K954" s="88">
        <v>0.0362</v>
      </c>
      <c r="L954" s="76">
        <v>0.0281993656</v>
      </c>
      <c r="M954" s="76">
        <f t="shared" si="35"/>
        <v>0.0281993656</v>
      </c>
      <c r="N954" s="109" t="s">
        <v>249</v>
      </c>
    </row>
    <row r="955" spans="1:14" ht="23.25" customHeight="1">
      <c r="A955" s="10"/>
      <c r="B955" s="12" t="s">
        <v>156</v>
      </c>
      <c r="C955" s="64" t="s">
        <v>475</v>
      </c>
      <c r="D955" s="12" t="s">
        <v>498</v>
      </c>
      <c r="E955" s="65">
        <v>44403</v>
      </c>
      <c r="F955" s="65">
        <v>44404</v>
      </c>
      <c r="G955" s="65">
        <v>44407</v>
      </c>
      <c r="H955" s="70">
        <v>0.035</v>
      </c>
      <c r="I955" s="60">
        <v>0.0781</v>
      </c>
      <c r="J955" s="113">
        <v>0</v>
      </c>
      <c r="K955" s="113">
        <v>0.0781</v>
      </c>
      <c r="L955" s="60">
        <v>0.057794001054349994</v>
      </c>
      <c r="M955" s="60">
        <f t="shared" si="35"/>
        <v>0.057794001054349994</v>
      </c>
      <c r="N955" s="67" t="s">
        <v>250</v>
      </c>
    </row>
    <row r="956" spans="1:14" ht="23.25" customHeight="1">
      <c r="A956" s="10"/>
      <c r="B956" s="73" t="s">
        <v>178</v>
      </c>
      <c r="C956" s="74" t="s">
        <v>474</v>
      </c>
      <c r="D956" s="12" t="s">
        <v>498</v>
      </c>
      <c r="E956" s="107">
        <v>44403</v>
      </c>
      <c r="F956" s="107">
        <v>44404</v>
      </c>
      <c r="G956" s="107">
        <v>44407</v>
      </c>
      <c r="H956" s="70">
        <v>0.035</v>
      </c>
      <c r="I956" s="60">
        <v>0.0678</v>
      </c>
      <c r="J956" s="113">
        <v>0</v>
      </c>
      <c r="K956" s="113">
        <v>0.0678</v>
      </c>
      <c r="L956" s="60">
        <v>0.0501720009153</v>
      </c>
      <c r="M956" s="60">
        <f t="shared" si="35"/>
        <v>0.0501720009153</v>
      </c>
      <c r="N956" s="67" t="s">
        <v>250</v>
      </c>
    </row>
    <row r="957" spans="1:14" ht="23.25" customHeight="1">
      <c r="A957" s="10"/>
      <c r="B957" s="1" t="s">
        <v>133</v>
      </c>
      <c r="C957" s="79" t="s">
        <v>476</v>
      </c>
      <c r="D957" s="1" t="s">
        <v>410</v>
      </c>
      <c r="E957" s="83">
        <v>44403</v>
      </c>
      <c r="F957" s="80">
        <v>44404</v>
      </c>
      <c r="G957" s="80">
        <v>44407</v>
      </c>
      <c r="H957" s="132">
        <v>0.035</v>
      </c>
      <c r="I957" s="76">
        <v>0.0352</v>
      </c>
      <c r="J957" s="88">
        <v>0</v>
      </c>
      <c r="K957" s="88">
        <v>0.0352</v>
      </c>
      <c r="L957" s="76">
        <v>0.0260632064</v>
      </c>
      <c r="M957" s="76">
        <f t="shared" si="35"/>
        <v>0.0260632064</v>
      </c>
      <c r="N957" s="77" t="s">
        <v>249</v>
      </c>
    </row>
    <row r="958" spans="1:14" ht="23.25" customHeight="1">
      <c r="A958" s="10"/>
      <c r="B958" s="12" t="s">
        <v>155</v>
      </c>
      <c r="C958" s="64" t="s">
        <v>477</v>
      </c>
      <c r="D958" s="12" t="s">
        <v>498</v>
      </c>
      <c r="E958" s="107">
        <v>44403</v>
      </c>
      <c r="F958" s="107">
        <v>44404</v>
      </c>
      <c r="G958" s="107">
        <v>44407</v>
      </c>
      <c r="H958" s="70">
        <v>0.035</v>
      </c>
      <c r="I958" s="60">
        <v>0.0792</v>
      </c>
      <c r="J958" s="113">
        <v>0</v>
      </c>
      <c r="K958" s="113">
        <v>0.0792</v>
      </c>
      <c r="L958" s="60">
        <v>0.0586422144</v>
      </c>
      <c r="M958" s="60">
        <f t="shared" si="35"/>
        <v>0.0586422144</v>
      </c>
      <c r="N958" s="67" t="s">
        <v>250</v>
      </c>
    </row>
    <row r="959" spans="1:14" ht="23.25" customHeight="1">
      <c r="A959" s="10"/>
      <c r="B959" s="73" t="s">
        <v>177</v>
      </c>
      <c r="C959" s="74" t="s">
        <v>478</v>
      </c>
      <c r="D959" s="12" t="s">
        <v>498</v>
      </c>
      <c r="E959" s="107">
        <v>44403</v>
      </c>
      <c r="F959" s="107">
        <v>44404</v>
      </c>
      <c r="G959" s="107">
        <v>44407</v>
      </c>
      <c r="H959" s="70">
        <v>0.035</v>
      </c>
      <c r="I959" s="60">
        <v>0.0811</v>
      </c>
      <c r="J959" s="113">
        <v>0</v>
      </c>
      <c r="K959" s="113">
        <v>0.0811</v>
      </c>
      <c r="L959" s="60">
        <v>0.0600490352</v>
      </c>
      <c r="M959" s="60">
        <f t="shared" si="35"/>
        <v>0.0600490352</v>
      </c>
      <c r="N959" s="67" t="s">
        <v>250</v>
      </c>
    </row>
    <row r="960" spans="1:14" ht="23.25" customHeight="1">
      <c r="A960" s="10"/>
      <c r="B960" s="12" t="s">
        <v>158</v>
      </c>
      <c r="C960" s="64" t="s">
        <v>373</v>
      </c>
      <c r="D960" s="12" t="s">
        <v>498</v>
      </c>
      <c r="E960" s="107">
        <v>44403</v>
      </c>
      <c r="F960" s="107">
        <v>44404</v>
      </c>
      <c r="G960" s="107">
        <v>44407</v>
      </c>
      <c r="H960" s="70">
        <v>0.04</v>
      </c>
      <c r="I960" s="60">
        <v>0.082</v>
      </c>
      <c r="J960" s="113">
        <v>0</v>
      </c>
      <c r="K960" s="113">
        <v>0.082</v>
      </c>
      <c r="L960" s="60">
        <v>0.063382187</v>
      </c>
      <c r="M960" s="60">
        <f t="shared" si="35"/>
        <v>0.063382187</v>
      </c>
      <c r="N960" s="67" t="s">
        <v>250</v>
      </c>
    </row>
    <row r="961" spans="1:14" ht="23.25" customHeight="1">
      <c r="A961" s="10"/>
      <c r="B961" s="1" t="s">
        <v>134</v>
      </c>
      <c r="C961" s="79" t="s">
        <v>374</v>
      </c>
      <c r="D961" s="1" t="s">
        <v>410</v>
      </c>
      <c r="E961" s="83">
        <v>44403</v>
      </c>
      <c r="F961" s="80">
        <v>44404</v>
      </c>
      <c r="G961" s="80">
        <v>44407</v>
      </c>
      <c r="H961" s="132">
        <v>0.04</v>
      </c>
      <c r="I961" s="76">
        <v>0.0483</v>
      </c>
      <c r="J961" s="88">
        <v>0</v>
      </c>
      <c r="K961" s="88">
        <v>0.0483</v>
      </c>
      <c r="L961" s="76">
        <v>0.03733365405</v>
      </c>
      <c r="M961" s="76">
        <f t="shared" si="35"/>
        <v>0.03733365405</v>
      </c>
      <c r="N961" s="77" t="s">
        <v>249</v>
      </c>
    </row>
    <row r="962" spans="1:14" ht="23.25" customHeight="1">
      <c r="A962" s="10"/>
      <c r="B962" s="12" t="s">
        <v>157</v>
      </c>
      <c r="C962" s="64" t="s">
        <v>375</v>
      </c>
      <c r="D962" s="12" t="s">
        <v>498</v>
      </c>
      <c r="E962" s="107">
        <v>44403</v>
      </c>
      <c r="F962" s="107">
        <v>44404</v>
      </c>
      <c r="G962" s="107">
        <v>44407</v>
      </c>
      <c r="H962" s="70">
        <v>0.04</v>
      </c>
      <c r="I962" s="60">
        <v>0.073</v>
      </c>
      <c r="J962" s="113">
        <v>0</v>
      </c>
      <c r="K962" s="113">
        <v>0.073</v>
      </c>
      <c r="L962" s="60">
        <v>0.056425605499999996</v>
      </c>
      <c r="M962" s="60">
        <f t="shared" si="35"/>
        <v>0.056425605499999996</v>
      </c>
      <c r="N962" s="67" t="s">
        <v>250</v>
      </c>
    </row>
    <row r="963" spans="1:14" ht="23.25" customHeight="1">
      <c r="A963" s="10"/>
      <c r="B963" s="109" t="s">
        <v>168</v>
      </c>
      <c r="C963" s="110" t="s">
        <v>376</v>
      </c>
      <c r="D963" s="1" t="s">
        <v>410</v>
      </c>
      <c r="E963" s="205">
        <v>44403</v>
      </c>
      <c r="F963" s="205">
        <v>44404</v>
      </c>
      <c r="G963" s="205">
        <v>44407</v>
      </c>
      <c r="H963" s="132">
        <v>0.04</v>
      </c>
      <c r="I963" s="76">
        <v>0.0448</v>
      </c>
      <c r="J963" s="88">
        <v>0</v>
      </c>
      <c r="K963" s="88">
        <v>0.0448</v>
      </c>
      <c r="L963" s="76">
        <v>0.034628316799999996</v>
      </c>
      <c r="M963" s="76">
        <f t="shared" si="35"/>
        <v>0.034628316799999996</v>
      </c>
      <c r="N963" s="109" t="s">
        <v>249</v>
      </c>
    </row>
    <row r="964" spans="1:14" ht="23.25" customHeight="1">
      <c r="A964" s="10"/>
      <c r="B964" s="12" t="s">
        <v>136</v>
      </c>
      <c r="C964" s="64" t="s">
        <v>388</v>
      </c>
      <c r="D964" s="12" t="s">
        <v>410</v>
      </c>
      <c r="E964" s="65">
        <v>44403</v>
      </c>
      <c r="F964" s="66">
        <v>44404</v>
      </c>
      <c r="G964" s="66">
        <v>44407</v>
      </c>
      <c r="H964" s="70">
        <v>0.03</v>
      </c>
      <c r="I964" s="60">
        <v>0.0361</v>
      </c>
      <c r="J964" s="113">
        <v>0</v>
      </c>
      <c r="K964" s="113">
        <v>0.0361</v>
      </c>
      <c r="L964" s="60">
        <v>0.027016157</v>
      </c>
      <c r="M964" s="60">
        <f t="shared" si="35"/>
        <v>0.027016157</v>
      </c>
      <c r="N964" s="67" t="s">
        <v>249</v>
      </c>
    </row>
    <row r="965" spans="1:14" ht="23.25" customHeight="1">
      <c r="A965" s="10"/>
      <c r="B965" s="12" t="s">
        <v>137</v>
      </c>
      <c r="C965" s="64" t="s">
        <v>389</v>
      </c>
      <c r="D965" s="12" t="s">
        <v>410</v>
      </c>
      <c r="E965" s="65">
        <v>44403</v>
      </c>
      <c r="F965" s="66">
        <v>44404</v>
      </c>
      <c r="G965" s="66">
        <v>44407</v>
      </c>
      <c r="H965" s="70">
        <v>0.0375</v>
      </c>
      <c r="I965" s="60">
        <v>0.0456</v>
      </c>
      <c r="J965" s="113">
        <v>0</v>
      </c>
      <c r="K965" s="113">
        <v>0.0456</v>
      </c>
      <c r="L965" s="60">
        <v>0.034125672</v>
      </c>
      <c r="M965" s="60">
        <f t="shared" si="35"/>
        <v>0.034125672</v>
      </c>
      <c r="N965" s="67" t="s">
        <v>249</v>
      </c>
    </row>
    <row r="966" spans="1:14" ht="23.25" customHeight="1">
      <c r="A966" s="10"/>
      <c r="B966" s="12" t="s">
        <v>135</v>
      </c>
      <c r="C966" s="64" t="s">
        <v>390</v>
      </c>
      <c r="D966" s="12" t="s">
        <v>410</v>
      </c>
      <c r="E966" s="65">
        <v>44403</v>
      </c>
      <c r="F966" s="66">
        <v>44404</v>
      </c>
      <c r="G966" s="66">
        <v>44407</v>
      </c>
      <c r="H966" s="70">
        <v>0.045</v>
      </c>
      <c r="I966" s="60">
        <v>0.052</v>
      </c>
      <c r="J966" s="113">
        <v>0</v>
      </c>
      <c r="K966" s="113">
        <v>0.052</v>
      </c>
      <c r="L966" s="60">
        <v>0.03891524</v>
      </c>
      <c r="M966" s="60">
        <f t="shared" si="35"/>
        <v>0.03891524</v>
      </c>
      <c r="N966" s="67" t="s">
        <v>249</v>
      </c>
    </row>
    <row r="967" spans="1:14" ht="23.25" customHeight="1">
      <c r="A967" s="10"/>
      <c r="B967" s="73" t="s">
        <v>170</v>
      </c>
      <c r="C967" s="74" t="s">
        <v>391</v>
      </c>
      <c r="D967" s="12" t="s">
        <v>410</v>
      </c>
      <c r="E967" s="107">
        <v>44403</v>
      </c>
      <c r="F967" s="107">
        <v>44404</v>
      </c>
      <c r="G967" s="107">
        <v>44407</v>
      </c>
      <c r="H967" s="70">
        <v>0.03</v>
      </c>
      <c r="I967" s="60">
        <v>0.0358</v>
      </c>
      <c r="J967" s="113">
        <v>0</v>
      </c>
      <c r="K967" s="113">
        <v>0.0358</v>
      </c>
      <c r="L967" s="60">
        <v>0.026791646</v>
      </c>
      <c r="M967" s="60">
        <f t="shared" si="35"/>
        <v>0.026791646</v>
      </c>
      <c r="N967" s="73" t="s">
        <v>249</v>
      </c>
    </row>
    <row r="968" spans="1:14" ht="23.25" customHeight="1">
      <c r="A968" s="10"/>
      <c r="B968" s="73" t="s">
        <v>171</v>
      </c>
      <c r="C968" s="74" t="s">
        <v>392</v>
      </c>
      <c r="D968" s="12" t="s">
        <v>410</v>
      </c>
      <c r="E968" s="107">
        <v>44403</v>
      </c>
      <c r="F968" s="107">
        <v>44404</v>
      </c>
      <c r="G968" s="107">
        <v>44407</v>
      </c>
      <c r="H968" s="70">
        <v>0.0375</v>
      </c>
      <c r="I968" s="60">
        <v>0.0451</v>
      </c>
      <c r="J968" s="113">
        <v>0</v>
      </c>
      <c r="K968" s="113">
        <v>0.0451</v>
      </c>
      <c r="L968" s="60">
        <v>0.033751487000000004</v>
      </c>
      <c r="M968" s="60">
        <f t="shared" si="35"/>
        <v>0.033751487000000004</v>
      </c>
      <c r="N968" s="73" t="s">
        <v>249</v>
      </c>
    </row>
    <row r="969" spans="1:14" ht="23.25" customHeight="1">
      <c r="A969" s="10"/>
      <c r="B969" s="73" t="s">
        <v>172</v>
      </c>
      <c r="C969" s="74" t="s">
        <v>393</v>
      </c>
      <c r="D969" s="12" t="s">
        <v>410</v>
      </c>
      <c r="E969" s="107">
        <v>44403</v>
      </c>
      <c r="F969" s="107">
        <v>44404</v>
      </c>
      <c r="G969" s="107">
        <v>44407</v>
      </c>
      <c r="H969" s="70">
        <v>0.045</v>
      </c>
      <c r="I969" s="60">
        <v>0.0514</v>
      </c>
      <c r="J969" s="113">
        <v>0</v>
      </c>
      <c r="K969" s="113">
        <v>0.0514</v>
      </c>
      <c r="L969" s="60">
        <v>0.038466218</v>
      </c>
      <c r="M969" s="60">
        <f t="shared" si="35"/>
        <v>0.038466218</v>
      </c>
      <c r="N969" s="73" t="s">
        <v>249</v>
      </c>
    </row>
    <row r="970" spans="1:14" ht="23.25" customHeight="1">
      <c r="A970" s="10"/>
      <c r="B970" s="12" t="s">
        <v>154</v>
      </c>
      <c r="C970" s="64" t="s">
        <v>399</v>
      </c>
      <c r="D970" s="12" t="s">
        <v>498</v>
      </c>
      <c r="E970" s="107">
        <v>44403</v>
      </c>
      <c r="F970" s="107">
        <v>44404</v>
      </c>
      <c r="G970" s="107">
        <v>44407</v>
      </c>
      <c r="H970" s="70">
        <v>0.055</v>
      </c>
      <c r="I970" s="60">
        <v>0.1049</v>
      </c>
      <c r="J970" s="113">
        <v>0</v>
      </c>
      <c r="K970" s="113">
        <v>0.1049</v>
      </c>
      <c r="L970" s="60">
        <v>0.07943300739999999</v>
      </c>
      <c r="M970" s="60">
        <f t="shared" si="35"/>
        <v>0.07943300739999999</v>
      </c>
      <c r="N970" s="67" t="s">
        <v>250</v>
      </c>
    </row>
    <row r="971" spans="1:14" ht="23.25" customHeight="1">
      <c r="A971" s="10"/>
      <c r="B971" s="73" t="s">
        <v>169</v>
      </c>
      <c r="C971" s="74" t="s">
        <v>400</v>
      </c>
      <c r="D971" s="12" t="s">
        <v>410</v>
      </c>
      <c r="E971" s="107">
        <v>44403</v>
      </c>
      <c r="F971" s="107">
        <v>44404</v>
      </c>
      <c r="G971" s="107">
        <v>44407</v>
      </c>
      <c r="H971" s="70">
        <v>0.055</v>
      </c>
      <c r="I971" s="60">
        <v>0.0589</v>
      </c>
      <c r="J971" s="113">
        <v>0</v>
      </c>
      <c r="K971" s="113">
        <v>0.0589</v>
      </c>
      <c r="L971" s="60">
        <v>0.0446006114</v>
      </c>
      <c r="M971" s="60">
        <f t="shared" si="35"/>
        <v>0.0446006114</v>
      </c>
      <c r="N971" s="73" t="s">
        <v>249</v>
      </c>
    </row>
    <row r="972" spans="1:252" ht="23.25" customHeight="1">
      <c r="A972" s="10"/>
      <c r="B972" s="12" t="s">
        <v>310</v>
      </c>
      <c r="C972" s="64" t="s">
        <v>424</v>
      </c>
      <c r="D972" s="12" t="s">
        <v>411</v>
      </c>
      <c r="E972" s="65">
        <v>44407</v>
      </c>
      <c r="F972" s="66">
        <v>44410</v>
      </c>
      <c r="G972" s="66">
        <v>44413</v>
      </c>
      <c r="H972" s="70">
        <v>0.05</v>
      </c>
      <c r="I972" s="113">
        <v>0.0205</v>
      </c>
      <c r="J972" s="113">
        <v>0.009072290488575245</v>
      </c>
      <c r="K972" s="113">
        <v>0.011427709511424756</v>
      </c>
      <c r="L972" s="60">
        <f>+K972-((K972*0.0367*0.125)+(K972*(1-0.0367)*0.26))</f>
        <v>0.008513123625228674</v>
      </c>
      <c r="M972" s="60">
        <f t="shared" si="35"/>
        <v>0.01758541411380392</v>
      </c>
      <c r="N972" s="67" t="s">
        <v>251</v>
      </c>
      <c r="IR972" s="10"/>
    </row>
    <row r="973" spans="1:252" ht="23.25" customHeight="1">
      <c r="A973" s="10"/>
      <c r="B973" s="12" t="s">
        <v>188</v>
      </c>
      <c r="C973" s="69" t="s">
        <v>339</v>
      </c>
      <c r="D973" s="12" t="s">
        <v>411</v>
      </c>
      <c r="E973" s="65">
        <v>44407</v>
      </c>
      <c r="F973" s="66">
        <v>44410</v>
      </c>
      <c r="G973" s="66">
        <v>44413</v>
      </c>
      <c r="H973" s="70">
        <v>0.05</v>
      </c>
      <c r="I973" s="113">
        <v>0.3588</v>
      </c>
      <c r="J973" s="113">
        <v>0.16972822259741388</v>
      </c>
      <c r="K973" s="113">
        <v>0.18907177740258613</v>
      </c>
      <c r="L973" s="60">
        <f>+K973-((K973*0.0367*0.125)+(K973*(1-0.0367)*0.26))</f>
        <v>0.14084987139905483</v>
      </c>
      <c r="M973" s="60">
        <f t="shared" si="35"/>
        <v>0.31057809399646874</v>
      </c>
      <c r="N973" s="67" t="s">
        <v>251</v>
      </c>
      <c r="IR973" s="10"/>
    </row>
    <row r="974" spans="1:252" ht="23.25" customHeight="1">
      <c r="A974" s="10"/>
      <c r="B974" s="12" t="s">
        <v>196</v>
      </c>
      <c r="C974" s="74" t="s">
        <v>340</v>
      </c>
      <c r="D974" s="73" t="s">
        <v>411</v>
      </c>
      <c r="E974" s="65">
        <v>44407</v>
      </c>
      <c r="F974" s="66">
        <v>44410</v>
      </c>
      <c r="G974" s="66">
        <v>44413</v>
      </c>
      <c r="H974" s="70">
        <v>0.05</v>
      </c>
      <c r="I974" s="113">
        <v>0.3726</v>
      </c>
      <c r="J974" s="113">
        <v>0.14375230962095534</v>
      </c>
      <c r="K974" s="113">
        <v>0.22884769037904465</v>
      </c>
      <c r="L974" s="60">
        <f>+K974-((K974*0.0367*0.125)+(K974*(1-0.0367)*0.26))</f>
        <v>0.17048111676247601</v>
      </c>
      <c r="M974" s="60">
        <f t="shared" si="35"/>
        <v>0.3142334263834313</v>
      </c>
      <c r="N974" s="67" t="s">
        <v>251</v>
      </c>
      <c r="IR974" s="10"/>
    </row>
    <row r="975" spans="1:14" ht="23.25" customHeight="1">
      <c r="A975" s="10"/>
      <c r="B975" s="12" t="s">
        <v>191</v>
      </c>
      <c r="C975" s="69" t="s">
        <v>346</v>
      </c>
      <c r="D975" s="12" t="s">
        <v>411</v>
      </c>
      <c r="E975" s="65">
        <v>44407</v>
      </c>
      <c r="F975" s="66">
        <v>44410</v>
      </c>
      <c r="G975" s="66">
        <v>44413</v>
      </c>
      <c r="H975" s="67">
        <v>0.035</v>
      </c>
      <c r="I975" s="113">
        <v>0.0141</v>
      </c>
      <c r="J975" s="113">
        <v>0.0010564887913914287</v>
      </c>
      <c r="K975" s="113">
        <v>0.01304351120860857</v>
      </c>
      <c r="L975" s="60">
        <f>+K975-((K975*0.7506*0.125)+(K975*(1-0.7506)*0.26))</f>
        <v>0.010973910328649857</v>
      </c>
      <c r="M975" s="60">
        <f t="shared" si="35"/>
        <v>0.012030399120041287</v>
      </c>
      <c r="N975" s="67" t="s">
        <v>251</v>
      </c>
    </row>
    <row r="976" spans="1:14" ht="23.25" customHeight="1">
      <c r="A976" s="10"/>
      <c r="B976" s="12" t="s">
        <v>199</v>
      </c>
      <c r="C976" s="74" t="s">
        <v>347</v>
      </c>
      <c r="D976" s="73" t="s">
        <v>411</v>
      </c>
      <c r="E976" s="65">
        <v>44407</v>
      </c>
      <c r="F976" s="66">
        <v>44410</v>
      </c>
      <c r="G976" s="66">
        <v>44413</v>
      </c>
      <c r="H976" s="67">
        <v>0.035</v>
      </c>
      <c r="I976" s="113">
        <v>0.014</v>
      </c>
      <c r="J976" s="113">
        <v>0</v>
      </c>
      <c r="K976" s="113">
        <v>0.014</v>
      </c>
      <c r="L976" s="60">
        <f>+K976-((K976*0.7506*0.125)+(K976*(1-0.7506)*0.26))</f>
        <v>0.011778634</v>
      </c>
      <c r="M976" s="60">
        <f t="shared" si="35"/>
        <v>0.011778634</v>
      </c>
      <c r="N976" s="67" t="s">
        <v>251</v>
      </c>
    </row>
    <row r="977" spans="1:14" ht="23.25" customHeight="1">
      <c r="A977" s="10"/>
      <c r="B977" s="12" t="s">
        <v>306</v>
      </c>
      <c r="C977" s="64" t="s">
        <v>430</v>
      </c>
      <c r="D977" s="12" t="s">
        <v>411</v>
      </c>
      <c r="E977" s="65">
        <v>44407</v>
      </c>
      <c r="F977" s="66">
        <v>44410</v>
      </c>
      <c r="G977" s="66">
        <v>44413</v>
      </c>
      <c r="H977" s="70">
        <v>0.025</v>
      </c>
      <c r="I977" s="113">
        <v>0.0103</v>
      </c>
      <c r="J977" s="113">
        <v>0.0034356261653938833</v>
      </c>
      <c r="K977" s="113">
        <v>0.006864373834606117</v>
      </c>
      <c r="L977" s="60">
        <f>+K977-((K977*0.0002*0.125)+(K977*(1-0.0002)*0.26))</f>
        <v>0.005079821975702061</v>
      </c>
      <c r="M977" s="60">
        <f t="shared" si="35"/>
        <v>0.008515448141095944</v>
      </c>
      <c r="N977" s="67" t="s">
        <v>251</v>
      </c>
    </row>
    <row r="978" spans="1:14" ht="23.25" customHeight="1">
      <c r="A978" s="10"/>
      <c r="B978" s="12" t="s">
        <v>184</v>
      </c>
      <c r="C978" s="69" t="s">
        <v>354</v>
      </c>
      <c r="D978" s="12" t="s">
        <v>411</v>
      </c>
      <c r="E978" s="65">
        <v>44407</v>
      </c>
      <c r="F978" s="66">
        <v>44410</v>
      </c>
      <c r="G978" s="66">
        <v>44413</v>
      </c>
      <c r="H978" s="70">
        <v>0.025</v>
      </c>
      <c r="I978" s="113">
        <v>0.2075</v>
      </c>
      <c r="J978" s="113">
        <v>0.08156193257382137</v>
      </c>
      <c r="K978" s="113">
        <v>0.1259380674261786</v>
      </c>
      <c r="L978" s="60">
        <f>+K978-((K978*0.0002*0.125)+(K978*(1-0.0002)*0.26))</f>
        <v>0.09319757022319267</v>
      </c>
      <c r="M978" s="60">
        <f t="shared" si="35"/>
        <v>0.17475950279701402</v>
      </c>
      <c r="N978" s="67" t="s">
        <v>251</v>
      </c>
    </row>
    <row r="979" spans="1:14" ht="23.25" customHeight="1">
      <c r="A979" s="10"/>
      <c r="B979" s="12" t="s">
        <v>192</v>
      </c>
      <c r="C979" s="74" t="s">
        <v>355</v>
      </c>
      <c r="D979" s="73" t="s">
        <v>411</v>
      </c>
      <c r="E979" s="65">
        <v>44407</v>
      </c>
      <c r="F979" s="66">
        <v>44410</v>
      </c>
      <c r="G979" s="66">
        <v>44413</v>
      </c>
      <c r="H979" s="70">
        <v>0.025</v>
      </c>
      <c r="I979" s="113">
        <v>0.2096</v>
      </c>
      <c r="J979" s="113">
        <v>0.04428983846459535</v>
      </c>
      <c r="K979" s="113">
        <v>0.16531016153540465</v>
      </c>
      <c r="L979" s="60">
        <f>+K979-((K979*0.0002*0.125)+(K979*(1-0.0002)*0.26))</f>
        <v>0.12233398291056088</v>
      </c>
      <c r="M979" s="60">
        <f t="shared" si="35"/>
        <v>0.16662382137515624</v>
      </c>
      <c r="N979" s="67" t="s">
        <v>251</v>
      </c>
    </row>
    <row r="980" spans="1:14" ht="23.25" customHeight="1">
      <c r="A980" s="10"/>
      <c r="B980" s="12" t="s">
        <v>311</v>
      </c>
      <c r="C980" s="64" t="s">
        <v>425</v>
      </c>
      <c r="D980" s="12" t="s">
        <v>411</v>
      </c>
      <c r="E980" s="65">
        <v>44407</v>
      </c>
      <c r="F980" s="66">
        <v>44410</v>
      </c>
      <c r="G980" s="66">
        <v>44413</v>
      </c>
      <c r="H980" s="70">
        <v>0.015</v>
      </c>
      <c r="I980" s="113">
        <v>0.0061</v>
      </c>
      <c r="J980" s="113">
        <v>0</v>
      </c>
      <c r="K980" s="113">
        <v>0.0061</v>
      </c>
      <c r="L980" s="60">
        <f>+K980-((K980*0.0000001*0.125)+(K980*(1-0.0000001)*0.26))</f>
        <v>0.00451400008235</v>
      </c>
      <c r="M980" s="60">
        <f t="shared" si="35"/>
        <v>0.00451400008235</v>
      </c>
      <c r="N980" s="67" t="s">
        <v>251</v>
      </c>
    </row>
    <row r="981" spans="1:14" ht="23.25" customHeight="1">
      <c r="A981" s="10"/>
      <c r="B981" s="12" t="s">
        <v>189</v>
      </c>
      <c r="C981" s="69" t="s">
        <v>356</v>
      </c>
      <c r="D981" s="12" t="s">
        <v>411</v>
      </c>
      <c r="E981" s="65">
        <v>44407</v>
      </c>
      <c r="F981" s="66">
        <v>44410</v>
      </c>
      <c r="G981" s="66">
        <v>44413</v>
      </c>
      <c r="H981" s="70">
        <v>0.015</v>
      </c>
      <c r="I981" s="113">
        <v>0.1124</v>
      </c>
      <c r="J981" s="113">
        <v>0.0038323148048734178</v>
      </c>
      <c r="K981" s="113">
        <v>0.10856768519512658</v>
      </c>
      <c r="L981" s="60">
        <f>+K981-((K981*0.0000001*0.125)+(K981*(1-0.0000001)*0.26))</f>
        <v>0.08034008851005742</v>
      </c>
      <c r="M981" s="60">
        <f t="shared" si="35"/>
        <v>0.08417240331493084</v>
      </c>
      <c r="N981" s="67" t="s">
        <v>251</v>
      </c>
    </row>
    <row r="982" spans="1:14" ht="23.25" customHeight="1">
      <c r="A982" s="10"/>
      <c r="B982" s="12" t="s">
        <v>197</v>
      </c>
      <c r="C982" s="74" t="s">
        <v>357</v>
      </c>
      <c r="D982" s="73" t="s">
        <v>411</v>
      </c>
      <c r="E982" s="65">
        <v>44407</v>
      </c>
      <c r="F982" s="66">
        <v>44410</v>
      </c>
      <c r="G982" s="66">
        <v>44413</v>
      </c>
      <c r="H982" s="70">
        <v>0.015</v>
      </c>
      <c r="I982" s="113">
        <v>0.1145</v>
      </c>
      <c r="J982" s="113">
        <v>0</v>
      </c>
      <c r="K982" s="113">
        <v>0.1145</v>
      </c>
      <c r="L982" s="60">
        <f>+K982-((K982*0.0000001*0.125)+(K982*(1-0.0000001)*0.26))</f>
        <v>0.08473000154575</v>
      </c>
      <c r="M982" s="60">
        <f t="shared" si="35"/>
        <v>0.08473000154575</v>
      </c>
      <c r="N982" s="67" t="s">
        <v>251</v>
      </c>
    </row>
    <row r="983" spans="1:14" ht="23.25" customHeight="1">
      <c r="A983" s="10"/>
      <c r="B983" s="12" t="s">
        <v>308</v>
      </c>
      <c r="C983" s="64" t="s">
        <v>426</v>
      </c>
      <c r="D983" s="12" t="s">
        <v>411</v>
      </c>
      <c r="E983" s="65">
        <v>44407</v>
      </c>
      <c r="F983" s="66">
        <v>44410</v>
      </c>
      <c r="G983" s="66">
        <v>44413</v>
      </c>
      <c r="H983" s="70">
        <v>0.015</v>
      </c>
      <c r="I983" s="113">
        <v>0.0062</v>
      </c>
      <c r="J983" s="113">
        <v>0.003201737049635015</v>
      </c>
      <c r="K983" s="113">
        <v>0.0029982629503649853</v>
      </c>
      <c r="L983" s="60">
        <f>+K983-((K983*0.4234*0.125)+(K983*(1-0.4234)*0.26))</f>
        <v>0.0023900922952500014</v>
      </c>
      <c r="M983" s="60">
        <f t="shared" si="35"/>
        <v>0.005591829344885016</v>
      </c>
      <c r="N983" s="67" t="s">
        <v>251</v>
      </c>
    </row>
    <row r="984" spans="1:14" ht="23.25" customHeight="1">
      <c r="A984" s="10"/>
      <c r="B984" s="12" t="s">
        <v>186</v>
      </c>
      <c r="C984" s="69" t="s">
        <v>363</v>
      </c>
      <c r="D984" s="12" t="s">
        <v>411</v>
      </c>
      <c r="E984" s="65">
        <v>44407</v>
      </c>
      <c r="F984" s="66">
        <v>44410</v>
      </c>
      <c r="G984" s="66">
        <v>44413</v>
      </c>
      <c r="H984" s="70">
        <v>0.015</v>
      </c>
      <c r="I984" s="113">
        <v>0.1137</v>
      </c>
      <c r="J984" s="113">
        <v>0.06955870267451311</v>
      </c>
      <c r="K984" s="113">
        <v>0.04414129732548688</v>
      </c>
      <c r="L984" s="60">
        <f>+K984-((K984*0.4234*0.125)+(K984*(1-0.4234)*0.26))</f>
        <v>0.035187632434687796</v>
      </c>
      <c r="M984" s="60">
        <f t="shared" si="35"/>
        <v>0.10474633510920091</v>
      </c>
      <c r="N984" s="67" t="s">
        <v>251</v>
      </c>
    </row>
    <row r="985" spans="1:14" ht="23.25" customHeight="1">
      <c r="A985" s="10"/>
      <c r="B985" s="12" t="s">
        <v>194</v>
      </c>
      <c r="C985" s="74" t="s">
        <v>364</v>
      </c>
      <c r="D985" s="73" t="s">
        <v>411</v>
      </c>
      <c r="E985" s="65">
        <v>44407</v>
      </c>
      <c r="F985" s="66">
        <v>44410</v>
      </c>
      <c r="G985" s="66">
        <v>44413</v>
      </c>
      <c r="H985" s="70">
        <v>0.015</v>
      </c>
      <c r="I985" s="113">
        <v>0.1172</v>
      </c>
      <c r="J985" s="113">
        <v>0.038176356888738036</v>
      </c>
      <c r="K985" s="113">
        <v>0.07902364311126196</v>
      </c>
      <c r="L985" s="60">
        <f>+K985-((K985*0.4234*0.125)+(K985*(1-0.4234)*0.26))</f>
        <v>0.06299440831893047</v>
      </c>
      <c r="M985" s="60">
        <f aca="true" t="shared" si="36" ref="M985:M1016">J985+L985</f>
        <v>0.1011707652076685</v>
      </c>
      <c r="N985" s="67" t="s">
        <v>251</v>
      </c>
    </row>
    <row r="986" spans="1:14" ht="23.25" customHeight="1">
      <c r="A986" s="10"/>
      <c r="B986" s="12" t="s">
        <v>307</v>
      </c>
      <c r="C986" s="64" t="s">
        <v>420</v>
      </c>
      <c r="D986" s="12" t="s">
        <v>411</v>
      </c>
      <c r="E986" s="65">
        <v>44407</v>
      </c>
      <c r="F986" s="66">
        <v>44410</v>
      </c>
      <c r="G986" s="66">
        <v>44413</v>
      </c>
      <c r="H986" s="70">
        <v>0.015</v>
      </c>
      <c r="I986" s="113">
        <v>0.0064</v>
      </c>
      <c r="J986" s="113">
        <v>0.005676335806250683</v>
      </c>
      <c r="K986" s="113">
        <v>0.0007236641937493175</v>
      </c>
      <c r="L986" s="60">
        <f>+K986-((K986*0.5961*0.125)+(K986*(1-0.5961)*0.26))</f>
        <v>0.0005937472938701807</v>
      </c>
      <c r="M986" s="60">
        <f t="shared" si="36"/>
        <v>0.006270083100120864</v>
      </c>
      <c r="N986" s="67" t="s">
        <v>251</v>
      </c>
    </row>
    <row r="987" spans="1:14" ht="23.25" customHeight="1">
      <c r="A987" s="10"/>
      <c r="B987" s="12" t="s">
        <v>185</v>
      </c>
      <c r="C987" s="69" t="s">
        <v>366</v>
      </c>
      <c r="D987" s="12" t="s">
        <v>411</v>
      </c>
      <c r="E987" s="65">
        <v>44407</v>
      </c>
      <c r="F987" s="66">
        <v>44410</v>
      </c>
      <c r="G987" s="66">
        <v>44413</v>
      </c>
      <c r="H987" s="70">
        <v>0.015</v>
      </c>
      <c r="I987" s="113">
        <v>0.1067</v>
      </c>
      <c r="J987" s="113">
        <v>0.10443330807340008</v>
      </c>
      <c r="K987" s="113">
        <v>0.002266691926599923</v>
      </c>
      <c r="L987" s="60">
        <f>+K987-((K987*0.5961*0.125)+(K987*(1-0.5961)*0.26))</f>
        <v>0.0018597606584391819</v>
      </c>
      <c r="M987" s="60">
        <f t="shared" si="36"/>
        <v>0.10629306873183926</v>
      </c>
      <c r="N987" s="67" t="s">
        <v>251</v>
      </c>
    </row>
    <row r="988" spans="1:14" ht="23.25" customHeight="1">
      <c r="A988" s="10"/>
      <c r="B988" s="12" t="s">
        <v>193</v>
      </c>
      <c r="C988" s="74" t="s">
        <v>367</v>
      </c>
      <c r="D988" s="73" t="s">
        <v>411</v>
      </c>
      <c r="E988" s="65">
        <v>44407</v>
      </c>
      <c r="F988" s="66">
        <v>44410</v>
      </c>
      <c r="G988" s="66">
        <v>44413</v>
      </c>
      <c r="H988" s="70">
        <v>0.015</v>
      </c>
      <c r="I988" s="113">
        <v>0.1042</v>
      </c>
      <c r="J988" s="113">
        <v>0.07310439889787362</v>
      </c>
      <c r="K988" s="113">
        <v>0.03109560110212638</v>
      </c>
      <c r="L988" s="60">
        <f>+K988-((K988*0.5961*0.125)+(K988*(1-0.5961)*0.26))</f>
        <v>0.02551311667086549</v>
      </c>
      <c r="M988" s="60">
        <f t="shared" si="36"/>
        <v>0.09861751556873911</v>
      </c>
      <c r="N988" s="67" t="s">
        <v>251</v>
      </c>
    </row>
    <row r="989" spans="1:14" ht="23.25" customHeight="1">
      <c r="A989" s="10"/>
      <c r="B989" s="12" t="s">
        <v>309</v>
      </c>
      <c r="C989" s="64" t="s">
        <v>427</v>
      </c>
      <c r="D989" s="12" t="s">
        <v>411</v>
      </c>
      <c r="E989" s="65">
        <v>44407</v>
      </c>
      <c r="F989" s="66">
        <v>44410</v>
      </c>
      <c r="G989" s="66">
        <v>44413</v>
      </c>
      <c r="H989" s="70">
        <v>0.015</v>
      </c>
      <c r="I989" s="113">
        <v>0.0064</v>
      </c>
      <c r="J989" s="113">
        <v>0.00354355876311947</v>
      </c>
      <c r="K989" s="113">
        <v>0.0028564412368805303</v>
      </c>
      <c r="L989" s="60">
        <f>+K989-((K989*0.0215*0.125)+(K989*(1-0.0215)*0.26))</f>
        <v>0.002122057335981638</v>
      </c>
      <c r="M989" s="60">
        <f t="shared" si="36"/>
        <v>0.005665616099101108</v>
      </c>
      <c r="N989" s="67" t="s">
        <v>251</v>
      </c>
    </row>
    <row r="990" spans="1:14" ht="23.25" customHeight="1">
      <c r="A990" s="10"/>
      <c r="B990" s="12" t="s">
        <v>187</v>
      </c>
      <c r="C990" s="69" t="s">
        <v>368</v>
      </c>
      <c r="D990" s="12" t="s">
        <v>411</v>
      </c>
      <c r="E990" s="65">
        <v>44407</v>
      </c>
      <c r="F990" s="66">
        <v>44410</v>
      </c>
      <c r="G990" s="66">
        <v>44413</v>
      </c>
      <c r="H990" s="70">
        <v>0.015</v>
      </c>
      <c r="I990" s="113">
        <v>0.1123</v>
      </c>
      <c r="J990" s="113">
        <v>0.07264565791681546</v>
      </c>
      <c r="K990" s="113">
        <v>0.03965434208318455</v>
      </c>
      <c r="L990" s="60">
        <f>+K990-((K990*0.0215*0.125)+(K990*(1-0.0215)*0.26))</f>
        <v>0.029459309869453013</v>
      </c>
      <c r="M990" s="60">
        <f t="shared" si="36"/>
        <v>0.10210496778626847</v>
      </c>
      <c r="N990" s="67" t="s">
        <v>251</v>
      </c>
    </row>
    <row r="991" spans="1:14" ht="23.25" customHeight="1">
      <c r="A991" s="10"/>
      <c r="B991" s="12" t="s">
        <v>195</v>
      </c>
      <c r="C991" s="74" t="s">
        <v>369</v>
      </c>
      <c r="D991" s="73" t="s">
        <v>411</v>
      </c>
      <c r="E991" s="65">
        <v>44407</v>
      </c>
      <c r="F991" s="66">
        <v>44410</v>
      </c>
      <c r="G991" s="66">
        <v>44413</v>
      </c>
      <c r="H991" s="70">
        <v>0.015</v>
      </c>
      <c r="I991" s="113">
        <v>0.1161</v>
      </c>
      <c r="J991" s="113">
        <v>0.04133420642943262</v>
      </c>
      <c r="K991" s="113">
        <v>0.07476579357056738</v>
      </c>
      <c r="L991" s="60">
        <f>+K991-((K991*0.0215*0.125)+(K991*(1-0.0215)*0.26))</f>
        <v>0.05554369495805843</v>
      </c>
      <c r="M991" s="60">
        <f t="shared" si="36"/>
        <v>0.09687790138749106</v>
      </c>
      <c r="N991" s="67" t="s">
        <v>251</v>
      </c>
    </row>
    <row r="992" spans="1:14" ht="23.25" customHeight="1">
      <c r="A992" s="10"/>
      <c r="B992" s="12" t="s">
        <v>312</v>
      </c>
      <c r="C992" s="64" t="s">
        <v>428</v>
      </c>
      <c r="D992" s="12" t="s">
        <v>411</v>
      </c>
      <c r="E992" s="65">
        <v>44407</v>
      </c>
      <c r="F992" s="66">
        <v>44410</v>
      </c>
      <c r="G992" s="66">
        <v>44413</v>
      </c>
      <c r="H992" s="70">
        <v>0.035</v>
      </c>
      <c r="I992" s="113">
        <v>0.0135</v>
      </c>
      <c r="J992" s="113">
        <v>0.0010809512909723473</v>
      </c>
      <c r="K992" s="113">
        <v>0.012419048709027653</v>
      </c>
      <c r="L992" s="60">
        <f>+K992-((K992*0.000000000001*0.125)+(K992*(1-0.00000000001)*0.26))</f>
        <v>0.0091900960447112</v>
      </c>
      <c r="M992" s="60">
        <f t="shared" si="36"/>
        <v>0.010271047335683547</v>
      </c>
      <c r="N992" s="67" t="s">
        <v>251</v>
      </c>
    </row>
    <row r="993" spans="1:14" ht="23.25" customHeight="1">
      <c r="A993" s="10"/>
      <c r="B993" s="12" t="s">
        <v>190</v>
      </c>
      <c r="C993" s="69" t="s">
        <v>370</v>
      </c>
      <c r="D993" s="12" t="s">
        <v>411</v>
      </c>
      <c r="E993" s="65">
        <v>44407</v>
      </c>
      <c r="F993" s="66">
        <v>44410</v>
      </c>
      <c r="G993" s="66">
        <v>44413</v>
      </c>
      <c r="H993" s="70">
        <v>0.035</v>
      </c>
      <c r="I993" s="113">
        <v>0.2555</v>
      </c>
      <c r="J993" s="113">
        <v>0.030607506183093578</v>
      </c>
      <c r="K993" s="113">
        <v>0.22489249381690643</v>
      </c>
      <c r="L993" s="60">
        <f>+K993-((K993*0.000000000001*0.125)+(K993*(1-0.00000000001)*0.26))</f>
        <v>0.16642044542506737</v>
      </c>
      <c r="M993" s="60">
        <f t="shared" si="36"/>
        <v>0.19702795160816094</v>
      </c>
      <c r="N993" s="67" t="s">
        <v>251</v>
      </c>
    </row>
    <row r="994" spans="1:14" ht="23.25" customHeight="1">
      <c r="A994" s="10"/>
      <c r="B994" s="12" t="s">
        <v>198</v>
      </c>
      <c r="C994" s="74" t="s">
        <v>371</v>
      </c>
      <c r="D994" s="73" t="s">
        <v>411</v>
      </c>
      <c r="E994" s="65">
        <v>44407</v>
      </c>
      <c r="F994" s="66">
        <v>44410</v>
      </c>
      <c r="G994" s="66">
        <v>44413</v>
      </c>
      <c r="H994" s="70">
        <v>0.035</v>
      </c>
      <c r="I994" s="113">
        <v>0.2564</v>
      </c>
      <c r="J994" s="113">
        <v>0</v>
      </c>
      <c r="K994" s="113">
        <v>0.2564</v>
      </c>
      <c r="L994" s="60">
        <f>+K994-((K994*0.000000000001*0.125)+(K994*(1-0.00000000001)*0.26))</f>
        <v>0.18973600000063462</v>
      </c>
      <c r="M994" s="60">
        <f t="shared" si="36"/>
        <v>0.18973600000063462</v>
      </c>
      <c r="N994" s="67" t="s">
        <v>251</v>
      </c>
    </row>
    <row r="995" spans="1:14" ht="23.25" customHeight="1">
      <c r="A995" s="10"/>
      <c r="B995" s="12" t="s">
        <v>516</v>
      </c>
      <c r="C995" s="64" t="s">
        <v>518</v>
      </c>
      <c r="D995" s="12" t="s">
        <v>411</v>
      </c>
      <c r="E995" s="65">
        <v>44407</v>
      </c>
      <c r="F995" s="66">
        <v>44410</v>
      </c>
      <c r="G995" s="66">
        <v>44413</v>
      </c>
      <c r="H995" s="70">
        <v>0.02</v>
      </c>
      <c r="I995" s="113">
        <v>0.1347</v>
      </c>
      <c r="J995" s="113">
        <v>0.1347</v>
      </c>
      <c r="K995" s="113">
        <v>0</v>
      </c>
      <c r="L995" s="60">
        <f>+K995-((K995*0.4282*0.125)+(K995*(1-0.4282)*0.26))</f>
        <v>0</v>
      </c>
      <c r="M995" s="60">
        <f t="shared" si="36"/>
        <v>0.1347</v>
      </c>
      <c r="N995" s="67" t="s">
        <v>251</v>
      </c>
    </row>
    <row r="996" spans="1:14" ht="23.25" customHeight="1">
      <c r="A996" s="10"/>
      <c r="B996" s="12" t="s">
        <v>517</v>
      </c>
      <c r="C996" s="64" t="s">
        <v>519</v>
      </c>
      <c r="D996" s="12" t="s">
        <v>411</v>
      </c>
      <c r="E996" s="65">
        <v>44407</v>
      </c>
      <c r="F996" s="66">
        <v>44410</v>
      </c>
      <c r="G996" s="66">
        <v>44413</v>
      </c>
      <c r="H996" s="70">
        <v>0.02</v>
      </c>
      <c r="I996" s="113">
        <v>0.1356</v>
      </c>
      <c r="J996" s="113">
        <v>0.132780441390486</v>
      </c>
      <c r="K996" s="113">
        <v>0.0028195586095139946</v>
      </c>
      <c r="L996" s="60">
        <f>+K996-((K996*0.4282*0.125)+(K996*(1-0.4282)*0.26))</f>
        <v>0.0022494635955805312</v>
      </c>
      <c r="M996" s="60">
        <f t="shared" si="36"/>
        <v>0.13502990498606654</v>
      </c>
      <c r="N996" s="67" t="s">
        <v>251</v>
      </c>
    </row>
    <row r="997" spans="1:14" ht="23.25" customHeight="1">
      <c r="A997" s="10"/>
      <c r="B997" s="12" t="s">
        <v>313</v>
      </c>
      <c r="C997" s="64" t="s">
        <v>429</v>
      </c>
      <c r="D997" s="12" t="s">
        <v>411</v>
      </c>
      <c r="E997" s="65">
        <v>44407</v>
      </c>
      <c r="F997" s="66">
        <v>44410</v>
      </c>
      <c r="G997" s="66">
        <v>44413</v>
      </c>
      <c r="H997" s="70">
        <v>0.01</v>
      </c>
      <c r="I997" s="113">
        <v>0.0043</v>
      </c>
      <c r="J997" s="113">
        <v>0</v>
      </c>
      <c r="K997" s="113">
        <v>0.0043</v>
      </c>
      <c r="L997" s="60">
        <f>+K997-((K997*0.148*0.125)+(K997*(1-0.148)*0.26))</f>
        <v>0.0032679140000000002</v>
      </c>
      <c r="M997" s="60">
        <f t="shared" si="36"/>
        <v>0.0032679140000000002</v>
      </c>
      <c r="N997" s="67" t="s">
        <v>251</v>
      </c>
    </row>
    <row r="998" spans="1:252" s="30" customFormat="1" ht="23.25" customHeight="1">
      <c r="A998" s="94"/>
      <c r="B998" s="12" t="s">
        <v>310</v>
      </c>
      <c r="C998" s="64" t="s">
        <v>424</v>
      </c>
      <c r="D998" s="12" t="s">
        <v>411</v>
      </c>
      <c r="E998" s="65">
        <v>44439</v>
      </c>
      <c r="F998" s="66">
        <v>44440</v>
      </c>
      <c r="G998" s="66">
        <v>44445</v>
      </c>
      <c r="H998" s="70">
        <v>0.05</v>
      </c>
      <c r="I998" s="113">
        <v>0.0205</v>
      </c>
      <c r="J998" s="113">
        <v>0.0014901719562231159</v>
      </c>
      <c r="K998" s="113">
        <v>0.019009828043776884</v>
      </c>
      <c r="L998" s="60">
        <f>+K998-((K998*0.0367*0.125)+(K998*(1-0.0367)*0.26))</f>
        <v>0.014161456945437786</v>
      </c>
      <c r="M998" s="60">
        <f t="shared" si="36"/>
        <v>0.015651628901660903</v>
      </c>
      <c r="N998" s="67" t="s">
        <v>251</v>
      </c>
      <c r="IR998" s="94"/>
    </row>
    <row r="999" spans="1:252" s="30" customFormat="1" ht="23.25" customHeight="1">
      <c r="A999" s="94"/>
      <c r="B999" s="12" t="s">
        <v>188</v>
      </c>
      <c r="C999" s="69" t="s">
        <v>339</v>
      </c>
      <c r="D999" s="12" t="s">
        <v>411</v>
      </c>
      <c r="E999" s="65">
        <v>44439</v>
      </c>
      <c r="F999" s="66">
        <v>44440</v>
      </c>
      <c r="G999" s="66">
        <v>44445</v>
      </c>
      <c r="H999" s="70">
        <v>0.05</v>
      </c>
      <c r="I999" s="113">
        <v>0.3588</v>
      </c>
      <c r="J999" s="113">
        <v>0.02682215842350595</v>
      </c>
      <c r="K999" s="113">
        <v>0.33197784157649407</v>
      </c>
      <c r="L999" s="60">
        <f>+K999-((K999*0.0367*0.125)+(K999*(1-0.0367)*0.26))</f>
        <v>0.24730838698269636</v>
      </c>
      <c r="M999" s="60">
        <f t="shared" si="36"/>
        <v>0.2741305454062023</v>
      </c>
      <c r="N999" s="67" t="s">
        <v>251</v>
      </c>
      <c r="IR999" s="94"/>
    </row>
    <row r="1000" spans="1:252" s="30" customFormat="1" ht="23.25" customHeight="1">
      <c r="A1000" s="94"/>
      <c r="B1000" s="12" t="s">
        <v>196</v>
      </c>
      <c r="C1000" s="74" t="s">
        <v>340</v>
      </c>
      <c r="D1000" s="73" t="s">
        <v>411</v>
      </c>
      <c r="E1000" s="65">
        <v>44439</v>
      </c>
      <c r="F1000" s="66">
        <v>44440</v>
      </c>
      <c r="G1000" s="66">
        <v>44445</v>
      </c>
      <c r="H1000" s="70">
        <v>0.05</v>
      </c>
      <c r="I1000" s="113">
        <v>0.3726</v>
      </c>
      <c r="J1000" s="113">
        <v>0.027901490137231474</v>
      </c>
      <c r="K1000" s="113">
        <v>0.3446985098627685</v>
      </c>
      <c r="L1000" s="60">
        <f>+K1000-((K1000*0.0367*0.125)+(K1000*(1-0.0367)*0.26))</f>
        <v>0.25678470606556375</v>
      </c>
      <c r="M1000" s="60">
        <f t="shared" si="36"/>
        <v>0.2846861962027952</v>
      </c>
      <c r="N1000" s="67" t="s">
        <v>251</v>
      </c>
      <c r="IR1000" s="94"/>
    </row>
    <row r="1001" spans="1:14" s="30" customFormat="1" ht="23.25" customHeight="1">
      <c r="A1001" s="94"/>
      <c r="B1001" s="12" t="s">
        <v>191</v>
      </c>
      <c r="C1001" s="69" t="s">
        <v>346</v>
      </c>
      <c r="D1001" s="12" t="s">
        <v>411</v>
      </c>
      <c r="E1001" s="65">
        <v>44439</v>
      </c>
      <c r="F1001" s="66">
        <v>44440</v>
      </c>
      <c r="G1001" s="66">
        <v>44445</v>
      </c>
      <c r="H1001" s="67">
        <v>0.035</v>
      </c>
      <c r="I1001" s="113">
        <v>0.0141</v>
      </c>
      <c r="J1001" s="113">
        <v>0</v>
      </c>
      <c r="K1001" s="113">
        <v>0.0141</v>
      </c>
      <c r="L1001" s="60">
        <f>+K1001-((K1001*0.7506*0.125)+(K1001*(1-0.7506)*0.26))</f>
        <v>0.0118627671</v>
      </c>
      <c r="M1001" s="60">
        <f t="shared" si="36"/>
        <v>0.0118627671</v>
      </c>
      <c r="N1001" s="67" t="s">
        <v>251</v>
      </c>
    </row>
    <row r="1002" spans="1:14" s="30" customFormat="1" ht="23.25" customHeight="1">
      <c r="A1002" s="94"/>
      <c r="B1002" s="12" t="s">
        <v>199</v>
      </c>
      <c r="C1002" s="74" t="s">
        <v>347</v>
      </c>
      <c r="D1002" s="73" t="s">
        <v>411</v>
      </c>
      <c r="E1002" s="65">
        <v>44439</v>
      </c>
      <c r="F1002" s="66">
        <v>44440</v>
      </c>
      <c r="G1002" s="66">
        <v>44445</v>
      </c>
      <c r="H1002" s="67">
        <v>0.035</v>
      </c>
      <c r="I1002" s="113">
        <v>0.014</v>
      </c>
      <c r="J1002" s="113">
        <v>0</v>
      </c>
      <c r="K1002" s="113">
        <v>0.014</v>
      </c>
      <c r="L1002" s="60">
        <f>+K1002-((K1002*0.7506*0.125)+(K1002*(1-0.7506)*0.26))</f>
        <v>0.011778634</v>
      </c>
      <c r="M1002" s="60">
        <f t="shared" si="36"/>
        <v>0.011778634</v>
      </c>
      <c r="N1002" s="67" t="s">
        <v>251</v>
      </c>
    </row>
    <row r="1003" spans="1:14" s="30" customFormat="1" ht="23.25" customHeight="1">
      <c r="A1003" s="94"/>
      <c r="B1003" s="12" t="s">
        <v>306</v>
      </c>
      <c r="C1003" s="64" t="s">
        <v>430</v>
      </c>
      <c r="D1003" s="12" t="s">
        <v>411</v>
      </c>
      <c r="E1003" s="65">
        <v>44439</v>
      </c>
      <c r="F1003" s="66">
        <v>44440</v>
      </c>
      <c r="G1003" s="66">
        <v>44445</v>
      </c>
      <c r="H1003" s="70">
        <v>0.025</v>
      </c>
      <c r="I1003" s="113">
        <v>0.0103</v>
      </c>
      <c r="J1003" s="113">
        <v>0</v>
      </c>
      <c r="K1003" s="113">
        <v>0.0103</v>
      </c>
      <c r="L1003" s="60">
        <f>+K1003-((K1003*0.0002*0.125)+(K1003*(1-0.0002)*0.26))</f>
        <v>0.007622278099999999</v>
      </c>
      <c r="M1003" s="60">
        <f t="shared" si="36"/>
        <v>0.007622278099999999</v>
      </c>
      <c r="N1003" s="67" t="s">
        <v>251</v>
      </c>
    </row>
    <row r="1004" spans="1:14" s="30" customFormat="1" ht="23.25" customHeight="1">
      <c r="A1004" s="94"/>
      <c r="B1004" s="12" t="s">
        <v>184</v>
      </c>
      <c r="C1004" s="69" t="s">
        <v>354</v>
      </c>
      <c r="D1004" s="12" t="s">
        <v>411</v>
      </c>
      <c r="E1004" s="65">
        <v>44439</v>
      </c>
      <c r="F1004" s="66">
        <v>44440</v>
      </c>
      <c r="G1004" s="66">
        <v>44445</v>
      </c>
      <c r="H1004" s="70">
        <v>0.025</v>
      </c>
      <c r="I1004" s="113">
        <v>0.2075</v>
      </c>
      <c r="J1004" s="113">
        <v>0</v>
      </c>
      <c r="K1004" s="113">
        <v>0.2075</v>
      </c>
      <c r="L1004" s="60">
        <f>+K1004-((K1004*0.0002*0.125)+(K1004*(1-0.0002)*0.26))</f>
        <v>0.1535556025</v>
      </c>
      <c r="M1004" s="60">
        <f t="shared" si="36"/>
        <v>0.1535556025</v>
      </c>
      <c r="N1004" s="67" t="s">
        <v>251</v>
      </c>
    </row>
    <row r="1005" spans="1:14" s="30" customFormat="1" ht="23.25" customHeight="1">
      <c r="A1005" s="94"/>
      <c r="B1005" s="12" t="s">
        <v>192</v>
      </c>
      <c r="C1005" s="74" t="s">
        <v>355</v>
      </c>
      <c r="D1005" s="73" t="s">
        <v>411</v>
      </c>
      <c r="E1005" s="65">
        <v>44439</v>
      </c>
      <c r="F1005" s="66">
        <v>44440</v>
      </c>
      <c r="G1005" s="66">
        <v>44445</v>
      </c>
      <c r="H1005" s="70">
        <v>0.025</v>
      </c>
      <c r="I1005" s="113">
        <v>0.2096</v>
      </c>
      <c r="J1005" s="113">
        <v>0</v>
      </c>
      <c r="K1005" s="113">
        <v>0.2096</v>
      </c>
      <c r="L1005" s="60">
        <f>+K1005-((K1005*0.0002*0.125)+(K1005*(1-0.0002)*0.26))</f>
        <v>0.1551096592</v>
      </c>
      <c r="M1005" s="60">
        <f t="shared" si="36"/>
        <v>0.1551096592</v>
      </c>
      <c r="N1005" s="67" t="s">
        <v>251</v>
      </c>
    </row>
    <row r="1006" spans="1:14" s="30" customFormat="1" ht="23.25" customHeight="1">
      <c r="A1006" s="94"/>
      <c r="B1006" s="12" t="s">
        <v>311</v>
      </c>
      <c r="C1006" s="64" t="s">
        <v>425</v>
      </c>
      <c r="D1006" s="12" t="s">
        <v>411</v>
      </c>
      <c r="E1006" s="65">
        <v>44439</v>
      </c>
      <c r="F1006" s="66">
        <v>44440</v>
      </c>
      <c r="G1006" s="66">
        <v>44445</v>
      </c>
      <c r="H1006" s="70">
        <v>0.015</v>
      </c>
      <c r="I1006" s="113">
        <v>0.0061</v>
      </c>
      <c r="J1006" s="113">
        <v>0</v>
      </c>
      <c r="K1006" s="113">
        <v>0.0061</v>
      </c>
      <c r="L1006" s="60">
        <f>+K1006-((K1006*0.0000001*0.125)+(K1006*(1-0.0000001)*0.26))</f>
        <v>0.00451400008235</v>
      </c>
      <c r="M1006" s="60">
        <f t="shared" si="36"/>
        <v>0.00451400008235</v>
      </c>
      <c r="N1006" s="67" t="s">
        <v>251</v>
      </c>
    </row>
    <row r="1007" spans="1:14" s="30" customFormat="1" ht="23.25" customHeight="1">
      <c r="A1007" s="94"/>
      <c r="B1007" s="12" t="s">
        <v>189</v>
      </c>
      <c r="C1007" s="69" t="s">
        <v>356</v>
      </c>
      <c r="D1007" s="12" t="s">
        <v>411</v>
      </c>
      <c r="E1007" s="65">
        <v>44439</v>
      </c>
      <c r="F1007" s="66">
        <v>44440</v>
      </c>
      <c r="G1007" s="66">
        <v>44445</v>
      </c>
      <c r="H1007" s="70">
        <v>0.015</v>
      </c>
      <c r="I1007" s="113">
        <v>0.1124</v>
      </c>
      <c r="J1007" s="113">
        <v>0</v>
      </c>
      <c r="K1007" s="113">
        <v>0.1124</v>
      </c>
      <c r="L1007" s="60">
        <f>+K1007-((K1007*0.0000001*0.125)+(K1007*(1-0.0000001)*0.26))</f>
        <v>0.0831760015174</v>
      </c>
      <c r="M1007" s="60">
        <f t="shared" si="36"/>
        <v>0.0831760015174</v>
      </c>
      <c r="N1007" s="67" t="s">
        <v>251</v>
      </c>
    </row>
    <row r="1008" spans="1:14" s="30" customFormat="1" ht="23.25" customHeight="1">
      <c r="A1008" s="94"/>
      <c r="B1008" s="12" t="s">
        <v>197</v>
      </c>
      <c r="C1008" s="74" t="s">
        <v>357</v>
      </c>
      <c r="D1008" s="73" t="s">
        <v>411</v>
      </c>
      <c r="E1008" s="65">
        <v>44439</v>
      </c>
      <c r="F1008" s="66">
        <v>44440</v>
      </c>
      <c r="G1008" s="66">
        <v>44445</v>
      </c>
      <c r="H1008" s="70">
        <v>0.015</v>
      </c>
      <c r="I1008" s="113">
        <v>0.1145</v>
      </c>
      <c r="J1008" s="113">
        <v>0</v>
      </c>
      <c r="K1008" s="113">
        <v>0.1145</v>
      </c>
      <c r="L1008" s="60">
        <f>+K1008-((K1008*0.0000001*0.125)+(K1008*(1-0.0000001)*0.26))</f>
        <v>0.08473000154575</v>
      </c>
      <c r="M1008" s="60">
        <f t="shared" si="36"/>
        <v>0.08473000154575</v>
      </c>
      <c r="N1008" s="67" t="s">
        <v>251</v>
      </c>
    </row>
    <row r="1009" spans="1:14" s="30" customFormat="1" ht="23.25" customHeight="1">
      <c r="A1009" s="94"/>
      <c r="B1009" s="12" t="s">
        <v>308</v>
      </c>
      <c r="C1009" s="64" t="s">
        <v>426</v>
      </c>
      <c r="D1009" s="12" t="s">
        <v>411</v>
      </c>
      <c r="E1009" s="65">
        <v>44439</v>
      </c>
      <c r="F1009" s="66">
        <v>44440</v>
      </c>
      <c r="G1009" s="66">
        <v>44445</v>
      </c>
      <c r="H1009" s="70">
        <v>0.015</v>
      </c>
      <c r="I1009" s="113">
        <v>0.0062</v>
      </c>
      <c r="J1009" s="113">
        <v>0</v>
      </c>
      <c r="K1009" s="113">
        <v>0.0062</v>
      </c>
      <c r="L1009" s="60">
        <f>+K1009-((K1009*0.4234*0.125)+(K1009*(1-0.4234)*0.26))</f>
        <v>0.0049423858</v>
      </c>
      <c r="M1009" s="60">
        <f t="shared" si="36"/>
        <v>0.0049423858</v>
      </c>
      <c r="N1009" s="67" t="s">
        <v>251</v>
      </c>
    </row>
    <row r="1010" spans="1:14" s="30" customFormat="1" ht="23.25" customHeight="1">
      <c r="A1010" s="94"/>
      <c r="B1010" s="12" t="s">
        <v>186</v>
      </c>
      <c r="C1010" s="69" t="s">
        <v>363</v>
      </c>
      <c r="D1010" s="12" t="s">
        <v>411</v>
      </c>
      <c r="E1010" s="65">
        <v>44439</v>
      </c>
      <c r="F1010" s="66">
        <v>44440</v>
      </c>
      <c r="G1010" s="66">
        <v>44445</v>
      </c>
      <c r="H1010" s="70">
        <v>0.015</v>
      </c>
      <c r="I1010" s="113">
        <v>0.1137</v>
      </c>
      <c r="J1010" s="113">
        <v>0</v>
      </c>
      <c r="K1010" s="113">
        <v>0.1137</v>
      </c>
      <c r="L1010" s="60">
        <f>+K1010-((K1010*0.4234*0.125)+(K1010*(1-0.4234)*0.26))</f>
        <v>0.0906369783</v>
      </c>
      <c r="M1010" s="60">
        <f t="shared" si="36"/>
        <v>0.0906369783</v>
      </c>
      <c r="N1010" s="67" t="s">
        <v>251</v>
      </c>
    </row>
    <row r="1011" spans="1:14" s="30" customFormat="1" ht="23.25" customHeight="1">
      <c r="A1011" s="94"/>
      <c r="B1011" s="12" t="s">
        <v>194</v>
      </c>
      <c r="C1011" s="74" t="s">
        <v>364</v>
      </c>
      <c r="D1011" s="73" t="s">
        <v>411</v>
      </c>
      <c r="E1011" s="65">
        <v>44439</v>
      </c>
      <c r="F1011" s="66">
        <v>44440</v>
      </c>
      <c r="G1011" s="66">
        <v>44445</v>
      </c>
      <c r="H1011" s="70">
        <v>0.015</v>
      </c>
      <c r="I1011" s="113">
        <v>0.1172</v>
      </c>
      <c r="J1011" s="113">
        <v>0</v>
      </c>
      <c r="K1011" s="113">
        <v>0.1172</v>
      </c>
      <c r="L1011" s="60">
        <f>+K1011-((K1011*0.4234*0.125)+(K1011*(1-0.4234)*0.26))</f>
        <v>0.0934270348</v>
      </c>
      <c r="M1011" s="60">
        <f t="shared" si="36"/>
        <v>0.0934270348</v>
      </c>
      <c r="N1011" s="67" t="s">
        <v>251</v>
      </c>
    </row>
    <row r="1012" spans="1:14" s="30" customFormat="1" ht="23.25" customHeight="1">
      <c r="A1012" s="94"/>
      <c r="B1012" s="12" t="s">
        <v>307</v>
      </c>
      <c r="C1012" s="64" t="s">
        <v>420</v>
      </c>
      <c r="D1012" s="12" t="s">
        <v>411</v>
      </c>
      <c r="E1012" s="65">
        <v>44439</v>
      </c>
      <c r="F1012" s="66">
        <v>44440</v>
      </c>
      <c r="G1012" s="66">
        <v>44445</v>
      </c>
      <c r="H1012" s="70">
        <v>0.015</v>
      </c>
      <c r="I1012" s="113">
        <v>0.0064</v>
      </c>
      <c r="J1012" s="113">
        <v>0</v>
      </c>
      <c r="K1012" s="113">
        <v>0.0064</v>
      </c>
      <c r="L1012" s="60">
        <f>+K1012-((K1012*0.5961*0.125)+(K1012*(1-0.5961)*0.26))</f>
        <v>0.0052510304</v>
      </c>
      <c r="M1012" s="60">
        <f t="shared" si="36"/>
        <v>0.0052510304</v>
      </c>
      <c r="N1012" s="67" t="s">
        <v>251</v>
      </c>
    </row>
    <row r="1013" spans="1:14" s="30" customFormat="1" ht="23.25" customHeight="1">
      <c r="A1013" s="94"/>
      <c r="B1013" s="12" t="s">
        <v>185</v>
      </c>
      <c r="C1013" s="69" t="s">
        <v>366</v>
      </c>
      <c r="D1013" s="12" t="s">
        <v>411</v>
      </c>
      <c r="E1013" s="65">
        <v>44439</v>
      </c>
      <c r="F1013" s="66">
        <v>44440</v>
      </c>
      <c r="G1013" s="66">
        <v>44445</v>
      </c>
      <c r="H1013" s="70">
        <v>0.015</v>
      </c>
      <c r="I1013" s="113">
        <v>0.1067</v>
      </c>
      <c r="J1013" s="113">
        <v>0</v>
      </c>
      <c r="K1013" s="113">
        <v>0.1067</v>
      </c>
      <c r="L1013" s="60">
        <f>+K1013-((K1013*0.5961*0.125)+(K1013*(1-0.5961)*0.26))</f>
        <v>0.08754452245</v>
      </c>
      <c r="M1013" s="60">
        <f t="shared" si="36"/>
        <v>0.08754452245</v>
      </c>
      <c r="N1013" s="67" t="s">
        <v>251</v>
      </c>
    </row>
    <row r="1014" spans="1:14" s="30" customFormat="1" ht="23.25" customHeight="1">
      <c r="A1014" s="94"/>
      <c r="B1014" s="12" t="s">
        <v>193</v>
      </c>
      <c r="C1014" s="74" t="s">
        <v>367</v>
      </c>
      <c r="D1014" s="73" t="s">
        <v>411</v>
      </c>
      <c r="E1014" s="65">
        <v>44439</v>
      </c>
      <c r="F1014" s="66">
        <v>44440</v>
      </c>
      <c r="G1014" s="66">
        <v>44445</v>
      </c>
      <c r="H1014" s="70">
        <v>0.015</v>
      </c>
      <c r="I1014" s="113">
        <v>0.1042</v>
      </c>
      <c r="J1014" s="113">
        <v>0</v>
      </c>
      <c r="K1014" s="113">
        <v>0.1042</v>
      </c>
      <c r="L1014" s="60">
        <f>+K1014-((K1014*0.5961*0.125)+(K1014*(1-0.5961)*0.26))</f>
        <v>0.0854933387</v>
      </c>
      <c r="M1014" s="60">
        <f t="shared" si="36"/>
        <v>0.0854933387</v>
      </c>
      <c r="N1014" s="67" t="s">
        <v>251</v>
      </c>
    </row>
    <row r="1015" spans="1:14" s="30" customFormat="1" ht="23.25" customHeight="1">
      <c r="A1015" s="94"/>
      <c r="B1015" s="12" t="s">
        <v>309</v>
      </c>
      <c r="C1015" s="64" t="s">
        <v>427</v>
      </c>
      <c r="D1015" s="12" t="s">
        <v>411</v>
      </c>
      <c r="E1015" s="65">
        <v>44439</v>
      </c>
      <c r="F1015" s="66">
        <v>44440</v>
      </c>
      <c r="G1015" s="66">
        <v>44445</v>
      </c>
      <c r="H1015" s="70">
        <v>0.015</v>
      </c>
      <c r="I1015" s="113">
        <v>0.0064</v>
      </c>
      <c r="J1015" s="113">
        <v>0</v>
      </c>
      <c r="K1015" s="113">
        <v>0.0064</v>
      </c>
      <c r="L1015" s="60">
        <f>+K1015-((K1015*0.0215*0.125)+(K1015*(1-0.0215)*0.26))</f>
        <v>0.004754576</v>
      </c>
      <c r="M1015" s="60">
        <f t="shared" si="36"/>
        <v>0.004754576</v>
      </c>
      <c r="N1015" s="67" t="s">
        <v>251</v>
      </c>
    </row>
    <row r="1016" spans="1:14" s="30" customFormat="1" ht="23.25" customHeight="1">
      <c r="A1016" s="94"/>
      <c r="B1016" s="12" t="s">
        <v>187</v>
      </c>
      <c r="C1016" s="69" t="s">
        <v>368</v>
      </c>
      <c r="D1016" s="12" t="s">
        <v>411</v>
      </c>
      <c r="E1016" s="65">
        <v>44439</v>
      </c>
      <c r="F1016" s="66">
        <v>44440</v>
      </c>
      <c r="G1016" s="66">
        <v>44445</v>
      </c>
      <c r="H1016" s="70">
        <v>0.015</v>
      </c>
      <c r="I1016" s="113">
        <v>0.1123</v>
      </c>
      <c r="J1016" s="113">
        <v>0</v>
      </c>
      <c r="K1016" s="113">
        <v>0.1123</v>
      </c>
      <c r="L1016" s="60">
        <f>+K1016-((K1016*0.0215*0.125)+(K1016*(1-0.0215)*0.26))</f>
        <v>0.08342795075</v>
      </c>
      <c r="M1016" s="60">
        <f t="shared" si="36"/>
        <v>0.08342795075</v>
      </c>
      <c r="N1016" s="67" t="s">
        <v>251</v>
      </c>
    </row>
    <row r="1017" spans="1:14" s="30" customFormat="1" ht="23.25" customHeight="1">
      <c r="A1017" s="94"/>
      <c r="B1017" s="12" t="s">
        <v>195</v>
      </c>
      <c r="C1017" s="74" t="s">
        <v>369</v>
      </c>
      <c r="D1017" s="73" t="s">
        <v>411</v>
      </c>
      <c r="E1017" s="65">
        <v>44439</v>
      </c>
      <c r="F1017" s="66">
        <v>44440</v>
      </c>
      <c r="G1017" s="66">
        <v>44445</v>
      </c>
      <c r="H1017" s="70">
        <v>0.015</v>
      </c>
      <c r="I1017" s="113">
        <v>0.1161</v>
      </c>
      <c r="J1017" s="113">
        <v>0</v>
      </c>
      <c r="K1017" s="113">
        <v>0.1161</v>
      </c>
      <c r="L1017" s="60">
        <f>+K1017-((K1017*0.0215*0.125)+(K1017*(1-0.0215)*0.26))</f>
        <v>0.08625098025</v>
      </c>
      <c r="M1017" s="60">
        <f aca="true" t="shared" si="37" ref="M1017:M1048">J1017+L1017</f>
        <v>0.08625098025</v>
      </c>
      <c r="N1017" s="67" t="s">
        <v>251</v>
      </c>
    </row>
    <row r="1018" spans="1:14" s="30" customFormat="1" ht="23.25" customHeight="1">
      <c r="A1018" s="94"/>
      <c r="B1018" s="12" t="s">
        <v>312</v>
      </c>
      <c r="C1018" s="64" t="s">
        <v>428</v>
      </c>
      <c r="D1018" s="12" t="s">
        <v>411</v>
      </c>
      <c r="E1018" s="65">
        <v>44439</v>
      </c>
      <c r="F1018" s="66">
        <v>44440</v>
      </c>
      <c r="G1018" s="66">
        <v>44445</v>
      </c>
      <c r="H1018" s="70">
        <v>0.035</v>
      </c>
      <c r="I1018" s="113">
        <v>0.0135</v>
      </c>
      <c r="J1018" s="113">
        <v>0</v>
      </c>
      <c r="K1018" s="113">
        <v>0.0135</v>
      </c>
      <c r="L1018" s="60">
        <f>+K1018-((K1018*0.000000000001*0.125)+(K1018*(1-0.00000000001)*0.26))</f>
        <v>0.009990000000033413</v>
      </c>
      <c r="M1018" s="60">
        <f t="shared" si="37"/>
        <v>0.009990000000033413</v>
      </c>
      <c r="N1018" s="67" t="s">
        <v>251</v>
      </c>
    </row>
    <row r="1019" spans="1:14" s="30" customFormat="1" ht="23.25" customHeight="1">
      <c r="A1019" s="94"/>
      <c r="B1019" s="12" t="s">
        <v>190</v>
      </c>
      <c r="C1019" s="69" t="s">
        <v>370</v>
      </c>
      <c r="D1019" s="12" t="s">
        <v>411</v>
      </c>
      <c r="E1019" s="65">
        <v>44439</v>
      </c>
      <c r="F1019" s="66">
        <v>44440</v>
      </c>
      <c r="G1019" s="66">
        <v>44445</v>
      </c>
      <c r="H1019" s="70">
        <v>0.035</v>
      </c>
      <c r="I1019" s="113">
        <v>0.2555</v>
      </c>
      <c r="J1019" s="113">
        <v>0</v>
      </c>
      <c r="K1019" s="113">
        <v>0.2555</v>
      </c>
      <c r="L1019" s="60">
        <f>+K1019-((K1019*0.000000000001*0.125)+(K1019*(1-0.00000000001)*0.26))</f>
        <v>0.18907000000063237</v>
      </c>
      <c r="M1019" s="60">
        <f t="shared" si="37"/>
        <v>0.18907000000063237</v>
      </c>
      <c r="N1019" s="67" t="s">
        <v>251</v>
      </c>
    </row>
    <row r="1020" spans="1:14" s="30" customFormat="1" ht="23.25" customHeight="1">
      <c r="A1020" s="94"/>
      <c r="B1020" s="12" t="s">
        <v>198</v>
      </c>
      <c r="C1020" s="74" t="s">
        <v>371</v>
      </c>
      <c r="D1020" s="73" t="s">
        <v>411</v>
      </c>
      <c r="E1020" s="65">
        <v>44439</v>
      </c>
      <c r="F1020" s="66">
        <v>44440</v>
      </c>
      <c r="G1020" s="66">
        <v>44445</v>
      </c>
      <c r="H1020" s="70">
        <v>0.035</v>
      </c>
      <c r="I1020" s="113">
        <v>0.2564</v>
      </c>
      <c r="J1020" s="113">
        <v>0</v>
      </c>
      <c r="K1020" s="113">
        <v>0.2564</v>
      </c>
      <c r="L1020" s="60">
        <f>+K1020-((K1020*0.000000000001*0.125)+(K1020*(1-0.00000000001)*0.26))</f>
        <v>0.18973600000063462</v>
      </c>
      <c r="M1020" s="60">
        <f t="shared" si="37"/>
        <v>0.18973600000063462</v>
      </c>
      <c r="N1020" s="67" t="s">
        <v>251</v>
      </c>
    </row>
    <row r="1021" spans="1:14" s="30" customFormat="1" ht="23.25" customHeight="1">
      <c r="A1021" s="94"/>
      <c r="B1021" s="12" t="s">
        <v>516</v>
      </c>
      <c r="C1021" s="64" t="s">
        <v>518</v>
      </c>
      <c r="D1021" s="12" t="s">
        <v>411</v>
      </c>
      <c r="E1021" s="65">
        <v>44439</v>
      </c>
      <c r="F1021" s="66">
        <v>44440</v>
      </c>
      <c r="G1021" s="66">
        <v>44445</v>
      </c>
      <c r="H1021" s="70">
        <v>0.02</v>
      </c>
      <c r="I1021" s="113">
        <v>0.1347</v>
      </c>
      <c r="J1021" s="113">
        <v>0.1347</v>
      </c>
      <c r="K1021" s="113">
        <v>0</v>
      </c>
      <c r="L1021" s="60">
        <f>+K1021-((K1021*0.4282*0.125)+(K1021*(1-0.4282)*0.26))</f>
        <v>0</v>
      </c>
      <c r="M1021" s="60">
        <f t="shared" si="37"/>
        <v>0.1347</v>
      </c>
      <c r="N1021" s="67" t="s">
        <v>251</v>
      </c>
    </row>
    <row r="1022" spans="1:14" s="30" customFormat="1" ht="23.25" customHeight="1">
      <c r="A1022" s="94"/>
      <c r="B1022" s="12" t="s">
        <v>517</v>
      </c>
      <c r="C1022" s="64" t="s">
        <v>519</v>
      </c>
      <c r="D1022" s="12" t="s">
        <v>411</v>
      </c>
      <c r="E1022" s="65">
        <v>44439</v>
      </c>
      <c r="F1022" s="66">
        <v>44440</v>
      </c>
      <c r="G1022" s="66">
        <v>44445</v>
      </c>
      <c r="H1022" s="70">
        <v>0.02</v>
      </c>
      <c r="I1022" s="113">
        <v>0.1356</v>
      </c>
      <c r="J1022" s="113">
        <v>0.1356</v>
      </c>
      <c r="K1022" s="113">
        <v>0</v>
      </c>
      <c r="L1022" s="60">
        <f>+K1022-((K1022*0.4282*0.125)+(K1022*(1-0.4282)*0.26))</f>
        <v>0</v>
      </c>
      <c r="M1022" s="60">
        <f t="shared" si="37"/>
        <v>0.1356</v>
      </c>
      <c r="N1022" s="67" t="s">
        <v>251</v>
      </c>
    </row>
    <row r="1023" spans="1:14" s="30" customFormat="1" ht="23.25" customHeight="1">
      <c r="A1023" s="94"/>
      <c r="B1023" s="12" t="s">
        <v>313</v>
      </c>
      <c r="C1023" s="64" t="s">
        <v>429</v>
      </c>
      <c r="D1023" s="12" t="s">
        <v>411</v>
      </c>
      <c r="E1023" s="65">
        <v>44439</v>
      </c>
      <c r="F1023" s="66">
        <v>44440</v>
      </c>
      <c r="G1023" s="66">
        <v>44445</v>
      </c>
      <c r="H1023" s="70">
        <v>0.01</v>
      </c>
      <c r="I1023" s="113">
        <v>0.0043</v>
      </c>
      <c r="J1023" s="113">
        <v>0</v>
      </c>
      <c r="K1023" s="113">
        <v>0.0043</v>
      </c>
      <c r="L1023" s="60">
        <f>+K1023-((K1023*0.148*0.125)+(K1023*(1-0.148)*0.26))</f>
        <v>0.0032679140000000002</v>
      </c>
      <c r="M1023" s="60">
        <f t="shared" si="37"/>
        <v>0.0032679140000000002</v>
      </c>
      <c r="N1023" s="67" t="s">
        <v>251</v>
      </c>
    </row>
    <row r="1024" spans="1:14" s="30" customFormat="1" ht="23.25" customHeight="1">
      <c r="A1024" s="94"/>
      <c r="B1024" s="73" t="s">
        <v>272</v>
      </c>
      <c r="C1024" s="74" t="s">
        <v>431</v>
      </c>
      <c r="D1024" s="73" t="s">
        <v>412</v>
      </c>
      <c r="E1024" s="107">
        <v>44452</v>
      </c>
      <c r="F1024" s="107">
        <v>44453</v>
      </c>
      <c r="G1024" s="107">
        <v>44456</v>
      </c>
      <c r="H1024" s="70"/>
      <c r="I1024" s="60">
        <v>0.2</v>
      </c>
      <c r="J1024" s="113">
        <v>0</v>
      </c>
      <c r="K1024" s="113">
        <v>0.2</v>
      </c>
      <c r="L1024" s="60">
        <f>+K1024-((K1024*0.28008*0.125)+(K1024*(1-0.272)*0.26))</f>
        <v>0.155142</v>
      </c>
      <c r="M1024" s="60">
        <f t="shared" si="37"/>
        <v>0.155142</v>
      </c>
      <c r="N1024" s="73" t="s">
        <v>288</v>
      </c>
    </row>
    <row r="1025" spans="1:14" s="30" customFormat="1" ht="23.25" customHeight="1">
      <c r="A1025" s="94"/>
      <c r="B1025" s="73" t="s">
        <v>273</v>
      </c>
      <c r="C1025" s="74" t="s">
        <v>343</v>
      </c>
      <c r="D1025" s="73" t="s">
        <v>412</v>
      </c>
      <c r="E1025" s="107">
        <v>44452</v>
      </c>
      <c r="F1025" s="107">
        <v>44453</v>
      </c>
      <c r="G1025" s="107">
        <v>44456</v>
      </c>
      <c r="H1025" s="70"/>
      <c r="I1025" s="60">
        <v>0.16</v>
      </c>
      <c r="J1025" s="113">
        <v>0</v>
      </c>
      <c r="K1025" s="113">
        <v>0.16</v>
      </c>
      <c r="L1025" s="60">
        <f>+K1025-((K1025*0.7506*0.125)+(K1025*(1-0.7506)*0.26))</f>
        <v>0.13461296</v>
      </c>
      <c r="M1025" s="60">
        <f t="shared" si="37"/>
        <v>0.13461296</v>
      </c>
      <c r="N1025" s="73" t="s">
        <v>288</v>
      </c>
    </row>
    <row r="1026" spans="1:14" s="30" customFormat="1" ht="23.25" customHeight="1">
      <c r="A1026" s="94"/>
      <c r="B1026" s="73" t="s">
        <v>274</v>
      </c>
      <c r="C1026" s="74" t="s">
        <v>432</v>
      </c>
      <c r="D1026" s="73" t="s">
        <v>412</v>
      </c>
      <c r="E1026" s="107">
        <v>44452</v>
      </c>
      <c r="F1026" s="107">
        <v>44453</v>
      </c>
      <c r="G1026" s="107">
        <v>44456</v>
      </c>
      <c r="H1026" s="70"/>
      <c r="I1026" s="60">
        <v>0.14</v>
      </c>
      <c r="J1026" s="113">
        <v>0</v>
      </c>
      <c r="K1026" s="113">
        <v>0.14</v>
      </c>
      <c r="L1026" s="60">
        <f>+K1026-((K1026*0.7506*0.125)+(K1026*(1-0.7506)*0.26))</f>
        <v>0.11778634000000002</v>
      </c>
      <c r="M1026" s="60">
        <f t="shared" si="37"/>
        <v>0.11778634000000002</v>
      </c>
      <c r="N1026" s="73" t="s">
        <v>288</v>
      </c>
    </row>
    <row r="1027" spans="1:14" s="30" customFormat="1" ht="23.25" customHeight="1">
      <c r="A1027" s="94"/>
      <c r="B1027" s="73" t="s">
        <v>275</v>
      </c>
      <c r="C1027" s="74" t="s">
        <v>418</v>
      </c>
      <c r="D1027" s="73" t="s">
        <v>412</v>
      </c>
      <c r="E1027" s="107">
        <v>44452</v>
      </c>
      <c r="F1027" s="107">
        <v>44453</v>
      </c>
      <c r="G1027" s="107">
        <v>44456</v>
      </c>
      <c r="H1027" s="70"/>
      <c r="I1027" s="60">
        <v>0.01</v>
      </c>
      <c r="J1027" s="113">
        <v>0</v>
      </c>
      <c r="K1027" s="113">
        <v>0.01</v>
      </c>
      <c r="L1027" s="60">
        <f>+K1027-((K1027*0.447*0.125)+(K1027*(1-0.447)*0.26))</f>
        <v>0.00800345</v>
      </c>
      <c r="M1027" s="60">
        <f t="shared" si="37"/>
        <v>0.00800345</v>
      </c>
      <c r="N1027" s="73" t="s">
        <v>288</v>
      </c>
    </row>
    <row r="1028" spans="1:14" s="30" customFormat="1" ht="23.25" customHeight="1">
      <c r="A1028" s="94"/>
      <c r="B1028" s="73" t="s">
        <v>276</v>
      </c>
      <c r="C1028" s="74" t="s">
        <v>419</v>
      </c>
      <c r="D1028" s="73" t="s">
        <v>412</v>
      </c>
      <c r="E1028" s="107">
        <v>44452</v>
      </c>
      <c r="F1028" s="107">
        <v>44453</v>
      </c>
      <c r="G1028" s="107">
        <v>44456</v>
      </c>
      <c r="H1028" s="70"/>
      <c r="I1028" s="60">
        <v>0</v>
      </c>
      <c r="J1028" s="113">
        <v>0</v>
      </c>
      <c r="K1028" s="113">
        <v>0</v>
      </c>
      <c r="L1028" s="60">
        <f>+K1028-((K1028*0.447*0.125)+(K1028*(1-0.447)*0.26))</f>
        <v>0</v>
      </c>
      <c r="M1028" s="60">
        <f t="shared" si="37"/>
        <v>0</v>
      </c>
      <c r="N1028" s="73" t="s">
        <v>288</v>
      </c>
    </row>
    <row r="1029" spans="1:14" s="30" customFormat="1" ht="23.25" customHeight="1">
      <c r="A1029" s="94"/>
      <c r="B1029" s="73" t="s">
        <v>719</v>
      </c>
      <c r="C1029" s="74" t="s">
        <v>718</v>
      </c>
      <c r="D1029" s="73" t="s">
        <v>412</v>
      </c>
      <c r="E1029" s="107">
        <v>44452</v>
      </c>
      <c r="F1029" s="107">
        <v>44453</v>
      </c>
      <c r="G1029" s="107">
        <v>44456</v>
      </c>
      <c r="H1029" s="70"/>
      <c r="I1029" s="60">
        <v>0</v>
      </c>
      <c r="J1029" s="113">
        <v>0</v>
      </c>
      <c r="K1029" s="113">
        <v>0</v>
      </c>
      <c r="L1029" s="60">
        <f>+K1029-((K1029*0.2893*0.125)+(K1029*(1-0.2893)*0.26))</f>
        <v>0</v>
      </c>
      <c r="M1029" s="60">
        <f t="shared" si="37"/>
        <v>0</v>
      </c>
      <c r="N1029" s="73" t="s">
        <v>288</v>
      </c>
    </row>
    <row r="1030" spans="1:14" s="30" customFormat="1" ht="23.25" customHeight="1">
      <c r="A1030" s="94"/>
      <c r="B1030" s="73" t="s">
        <v>280</v>
      </c>
      <c r="C1030" s="74" t="s">
        <v>385</v>
      </c>
      <c r="D1030" s="73" t="s">
        <v>412</v>
      </c>
      <c r="E1030" s="107">
        <v>44452</v>
      </c>
      <c r="F1030" s="107">
        <v>44453</v>
      </c>
      <c r="G1030" s="107">
        <v>44456</v>
      </c>
      <c r="H1030" s="70"/>
      <c r="I1030" s="60">
        <v>0.15</v>
      </c>
      <c r="J1030" s="113">
        <v>0</v>
      </c>
      <c r="K1030" s="113">
        <v>0.15</v>
      </c>
      <c r="L1030" s="60">
        <f>+K1030-((K1030*0.0529*0.125)+(K1030*(1-0.0529)*0.26))</f>
        <v>0.112071225</v>
      </c>
      <c r="M1030" s="60">
        <f t="shared" si="37"/>
        <v>0.112071225</v>
      </c>
      <c r="N1030" s="73" t="s">
        <v>288</v>
      </c>
    </row>
    <row r="1031" spans="1:14" s="30" customFormat="1" ht="23.25" customHeight="1">
      <c r="A1031" s="94"/>
      <c r="B1031" s="73" t="s">
        <v>281</v>
      </c>
      <c r="C1031" s="74" t="s">
        <v>433</v>
      </c>
      <c r="D1031" s="73" t="s">
        <v>412</v>
      </c>
      <c r="E1031" s="107">
        <v>44452</v>
      </c>
      <c r="F1031" s="107">
        <v>44453</v>
      </c>
      <c r="G1031" s="107">
        <v>44456</v>
      </c>
      <c r="H1031" s="70"/>
      <c r="I1031" s="60">
        <v>0.21</v>
      </c>
      <c r="J1031" s="113">
        <v>0</v>
      </c>
      <c r="K1031" s="113">
        <v>0.21</v>
      </c>
      <c r="L1031" s="60">
        <f>+K1031-((K1031*0.066*0.125)+(K1031*(1-0.066)*0.26))</f>
        <v>0.1572711</v>
      </c>
      <c r="M1031" s="60">
        <f t="shared" si="37"/>
        <v>0.1572711</v>
      </c>
      <c r="N1031" s="73" t="s">
        <v>288</v>
      </c>
    </row>
    <row r="1032" spans="1:14" s="30" customFormat="1" ht="23.25" customHeight="1">
      <c r="A1032" s="94"/>
      <c r="B1032" s="73" t="s">
        <v>282</v>
      </c>
      <c r="C1032" s="74" t="s">
        <v>434</v>
      </c>
      <c r="D1032" s="73" t="s">
        <v>412</v>
      </c>
      <c r="E1032" s="107">
        <v>44452</v>
      </c>
      <c r="F1032" s="107">
        <v>44453</v>
      </c>
      <c r="G1032" s="107">
        <v>44456</v>
      </c>
      <c r="H1032" s="70"/>
      <c r="I1032" s="60">
        <v>0.18</v>
      </c>
      <c r="J1032" s="113">
        <v>0</v>
      </c>
      <c r="K1032" s="113">
        <v>0.18</v>
      </c>
      <c r="L1032" s="60">
        <f>+K1032-((K1032*0.1125*0.125)+(K1032*(1-0.1125)*0.26))</f>
        <v>0.13593375</v>
      </c>
      <c r="M1032" s="60">
        <f t="shared" si="37"/>
        <v>0.13593375</v>
      </c>
      <c r="N1032" s="73" t="s">
        <v>288</v>
      </c>
    </row>
    <row r="1033" spans="1:14" s="30" customFormat="1" ht="23.25" customHeight="1">
      <c r="A1033" s="94"/>
      <c r="B1033" s="73" t="s">
        <v>283</v>
      </c>
      <c r="C1033" s="74" t="s">
        <v>435</v>
      </c>
      <c r="D1033" s="73" t="s">
        <v>412</v>
      </c>
      <c r="E1033" s="107">
        <v>44452</v>
      </c>
      <c r="F1033" s="107">
        <v>44453</v>
      </c>
      <c r="G1033" s="107">
        <v>44456</v>
      </c>
      <c r="H1033" s="70"/>
      <c r="I1033" s="60">
        <v>0.15</v>
      </c>
      <c r="J1033" s="113">
        <v>0</v>
      </c>
      <c r="K1033" s="113">
        <v>0.15</v>
      </c>
      <c r="L1033" s="60">
        <f>+K1033-((K1033*0.1125*0.125)+(K1033*(1-0.1125)*0.26))</f>
        <v>0.113278125</v>
      </c>
      <c r="M1033" s="60">
        <f t="shared" si="37"/>
        <v>0.113278125</v>
      </c>
      <c r="N1033" s="73" t="s">
        <v>288</v>
      </c>
    </row>
    <row r="1034" spans="1:14" s="30" customFormat="1" ht="23.25" customHeight="1">
      <c r="A1034" s="94"/>
      <c r="B1034" s="73" t="s">
        <v>284</v>
      </c>
      <c r="C1034" s="74" t="s">
        <v>436</v>
      </c>
      <c r="D1034" s="73" t="s">
        <v>412</v>
      </c>
      <c r="E1034" s="107">
        <v>44452</v>
      </c>
      <c r="F1034" s="107">
        <v>44453</v>
      </c>
      <c r="G1034" s="107">
        <v>44456</v>
      </c>
      <c r="H1034" s="70"/>
      <c r="I1034" s="60">
        <v>0.15</v>
      </c>
      <c r="J1034" s="113">
        <v>0</v>
      </c>
      <c r="K1034" s="113">
        <v>0.15</v>
      </c>
      <c r="L1034" s="60">
        <f>+K1034-((K1034*0.1125*0.125)+(K1034*(1-0.1125)*0.26))</f>
        <v>0.113278125</v>
      </c>
      <c r="M1034" s="60">
        <f t="shared" si="37"/>
        <v>0.113278125</v>
      </c>
      <c r="N1034" s="73" t="s">
        <v>288</v>
      </c>
    </row>
    <row r="1035" spans="1:14" s="30" customFormat="1" ht="23.25" customHeight="1">
      <c r="A1035" s="94"/>
      <c r="B1035" s="73" t="s">
        <v>285</v>
      </c>
      <c r="C1035" s="74" t="s">
        <v>437</v>
      </c>
      <c r="D1035" s="73" t="s">
        <v>412</v>
      </c>
      <c r="E1035" s="107">
        <v>44452</v>
      </c>
      <c r="F1035" s="107">
        <v>44453</v>
      </c>
      <c r="G1035" s="107">
        <v>44456</v>
      </c>
      <c r="H1035" s="70"/>
      <c r="I1035" s="60">
        <v>0.12</v>
      </c>
      <c r="J1035" s="113">
        <v>0</v>
      </c>
      <c r="K1035" s="113">
        <v>0.12</v>
      </c>
      <c r="L1035" s="60">
        <f>+K1035-((K1035*0.1125*0.125)+(K1035*(1-0.1125)*0.26))</f>
        <v>0.0906225</v>
      </c>
      <c r="M1035" s="60">
        <f t="shared" si="37"/>
        <v>0.0906225</v>
      </c>
      <c r="N1035" s="73" t="s">
        <v>288</v>
      </c>
    </row>
    <row r="1036" spans="1:14" s="30" customFormat="1" ht="23.25" customHeight="1">
      <c r="A1036" s="94"/>
      <c r="B1036" s="73" t="s">
        <v>286</v>
      </c>
      <c r="C1036" s="74" t="s">
        <v>438</v>
      </c>
      <c r="D1036" s="73" t="s">
        <v>412</v>
      </c>
      <c r="E1036" s="107">
        <v>44452</v>
      </c>
      <c r="F1036" s="107">
        <v>44453</v>
      </c>
      <c r="G1036" s="107">
        <v>44456</v>
      </c>
      <c r="H1036" s="70"/>
      <c r="I1036" s="60">
        <v>0.14</v>
      </c>
      <c r="J1036" s="113">
        <v>0</v>
      </c>
      <c r="K1036" s="113">
        <v>0.14</v>
      </c>
      <c r="L1036" s="60">
        <f>+K1036-((K1036*0.1125*0.125)+(K1036*(1-0.1125)*0.26))</f>
        <v>0.10572625000000002</v>
      </c>
      <c r="M1036" s="60">
        <f t="shared" si="37"/>
        <v>0.10572625000000002</v>
      </c>
      <c r="N1036" s="73" t="s">
        <v>288</v>
      </c>
    </row>
    <row r="1037" spans="1:14" s="30" customFormat="1" ht="23.25" customHeight="1">
      <c r="A1037" s="94"/>
      <c r="B1037" s="73" t="s">
        <v>277</v>
      </c>
      <c r="C1037" s="74" t="s">
        <v>470</v>
      </c>
      <c r="D1037" s="73" t="s">
        <v>412</v>
      </c>
      <c r="E1037" s="107">
        <v>44452</v>
      </c>
      <c r="F1037" s="107">
        <v>44453</v>
      </c>
      <c r="G1037" s="107">
        <v>44456</v>
      </c>
      <c r="H1037" s="70"/>
      <c r="I1037" s="60">
        <v>0.17</v>
      </c>
      <c r="J1037" s="113">
        <v>0</v>
      </c>
      <c r="K1037" s="113">
        <v>0.17</v>
      </c>
      <c r="L1037" s="60">
        <f>+K1037-((K1037*0.1445*0.125)+(K1037*(1-0.1445)*0.26))</f>
        <v>0.129116275</v>
      </c>
      <c r="M1037" s="60">
        <f t="shared" si="37"/>
        <v>0.129116275</v>
      </c>
      <c r="N1037" s="73" t="s">
        <v>288</v>
      </c>
    </row>
    <row r="1038" spans="1:14" s="30" customFormat="1" ht="23.25" customHeight="1">
      <c r="A1038" s="94"/>
      <c r="B1038" s="73" t="s">
        <v>278</v>
      </c>
      <c r="C1038" s="74" t="s">
        <v>471</v>
      </c>
      <c r="D1038" s="73" t="s">
        <v>412</v>
      </c>
      <c r="E1038" s="107">
        <v>44452</v>
      </c>
      <c r="F1038" s="107">
        <v>44453</v>
      </c>
      <c r="G1038" s="107">
        <v>44456</v>
      </c>
      <c r="H1038" s="70"/>
      <c r="I1038" s="60">
        <v>0.15</v>
      </c>
      <c r="J1038" s="113">
        <v>0</v>
      </c>
      <c r="K1038" s="113">
        <v>0.15</v>
      </c>
      <c r="L1038" s="60">
        <f>+K1038-((K1038*0.1445*0.125)+(K1038*(1-0.1445)*0.26))</f>
        <v>0.11392612499999999</v>
      </c>
      <c r="M1038" s="60">
        <f t="shared" si="37"/>
        <v>0.11392612499999999</v>
      </c>
      <c r="N1038" s="73" t="s">
        <v>288</v>
      </c>
    </row>
    <row r="1039" spans="1:14" s="30" customFormat="1" ht="23.25" customHeight="1">
      <c r="A1039" s="94"/>
      <c r="B1039" s="73" t="s">
        <v>279</v>
      </c>
      <c r="C1039" s="74" t="s">
        <v>472</v>
      </c>
      <c r="D1039" s="73" t="s">
        <v>412</v>
      </c>
      <c r="E1039" s="107">
        <v>44452</v>
      </c>
      <c r="F1039" s="107">
        <v>44453</v>
      </c>
      <c r="G1039" s="107">
        <v>44456</v>
      </c>
      <c r="H1039" s="70"/>
      <c r="I1039" s="60">
        <v>0.18</v>
      </c>
      <c r="J1039" s="113">
        <v>0</v>
      </c>
      <c r="K1039" s="113">
        <v>0.18</v>
      </c>
      <c r="L1039" s="60">
        <f>+K1039-((K1039*0.1445*0.125)+(K1039*(1-0.1445)*0.26))</f>
        <v>0.13671135</v>
      </c>
      <c r="M1039" s="60">
        <f t="shared" si="37"/>
        <v>0.13671135</v>
      </c>
      <c r="N1039" s="73" t="s">
        <v>288</v>
      </c>
    </row>
    <row r="1040" spans="1:14" s="30" customFormat="1" ht="23.25" customHeight="1">
      <c r="A1040" s="94"/>
      <c r="B1040" s="73" t="s">
        <v>174</v>
      </c>
      <c r="C1040" s="74" t="s">
        <v>382</v>
      </c>
      <c r="D1040" s="73" t="s">
        <v>410</v>
      </c>
      <c r="E1040" s="107">
        <v>44468</v>
      </c>
      <c r="F1040" s="107">
        <v>44469</v>
      </c>
      <c r="G1040" s="107">
        <v>44474</v>
      </c>
      <c r="H1040" s="70"/>
      <c r="I1040" s="60">
        <v>0.028205</v>
      </c>
      <c r="J1040" s="113">
        <v>0</v>
      </c>
      <c r="K1040" s="113">
        <v>0.028205</v>
      </c>
      <c r="L1040" s="60">
        <f>+K1040-((K1040*0.0055*0.125)+(K1040*(1-0.0055)*0.26))</f>
        <v>0.0208926422125</v>
      </c>
      <c r="M1040" s="60">
        <f t="shared" si="37"/>
        <v>0.0208926422125</v>
      </c>
      <c r="N1040" s="73" t="s">
        <v>247</v>
      </c>
    </row>
    <row r="1041" spans="1:14" s="30" customFormat="1" ht="23.25" customHeight="1">
      <c r="A1041" s="94"/>
      <c r="B1041" s="73" t="s">
        <v>176</v>
      </c>
      <c r="C1041" s="74" t="s">
        <v>397</v>
      </c>
      <c r="D1041" s="73" t="s">
        <v>410</v>
      </c>
      <c r="E1041" s="107">
        <v>44468</v>
      </c>
      <c r="F1041" s="107">
        <v>44469</v>
      </c>
      <c r="G1041" s="107">
        <v>44474</v>
      </c>
      <c r="H1041" s="70"/>
      <c r="I1041" s="60">
        <v>0.032308</v>
      </c>
      <c r="J1041" s="113">
        <v>0</v>
      </c>
      <c r="K1041" s="113">
        <v>0.032308</v>
      </c>
      <c r="L1041" s="60">
        <f>+K1041-((K1041*0.1125*0.125)+(K1041*(1-0.1125)*0.26))</f>
        <v>0.02439859775</v>
      </c>
      <c r="M1041" s="60">
        <f t="shared" si="37"/>
        <v>0.02439859775</v>
      </c>
      <c r="N1041" s="73" t="s">
        <v>247</v>
      </c>
    </row>
    <row r="1042" spans="1:14" s="30" customFormat="1" ht="23.25" customHeight="1">
      <c r="A1042" s="94"/>
      <c r="B1042" s="73" t="s">
        <v>175</v>
      </c>
      <c r="C1042" s="74" t="s">
        <v>467</v>
      </c>
      <c r="D1042" s="73" t="s">
        <v>410</v>
      </c>
      <c r="E1042" s="107">
        <v>44468</v>
      </c>
      <c r="F1042" s="107">
        <v>44469</v>
      </c>
      <c r="G1042" s="107">
        <v>44474</v>
      </c>
      <c r="H1042" s="70"/>
      <c r="I1042" s="60">
        <v>0.050645</v>
      </c>
      <c r="J1042" s="113">
        <v>0</v>
      </c>
      <c r="K1042" s="113">
        <v>0.050645</v>
      </c>
      <c r="L1042" s="60">
        <f>+K1042-((K1042*0.1445*0.125)+(K1042*(1-0.1445)*0.26))</f>
        <v>0.0384652573375</v>
      </c>
      <c r="M1042" s="60">
        <f t="shared" si="37"/>
        <v>0.0384652573375</v>
      </c>
      <c r="N1042" s="73" t="s">
        <v>247</v>
      </c>
    </row>
    <row r="1043" spans="1:14" s="30" customFormat="1" ht="23.25" customHeight="1">
      <c r="A1043" s="94"/>
      <c r="B1043" s="12" t="s">
        <v>298</v>
      </c>
      <c r="C1043" s="64" t="s">
        <v>403</v>
      </c>
      <c r="D1043" s="12" t="s">
        <v>410</v>
      </c>
      <c r="E1043" s="65">
        <v>44469</v>
      </c>
      <c r="F1043" s="66">
        <v>44470</v>
      </c>
      <c r="G1043" s="66">
        <v>44475</v>
      </c>
      <c r="H1043" s="70">
        <v>0.045</v>
      </c>
      <c r="I1043" s="60">
        <v>0.0531</v>
      </c>
      <c r="J1043" s="113">
        <v>0</v>
      </c>
      <c r="K1043" s="113">
        <v>0.0531</v>
      </c>
      <c r="L1043" s="60">
        <f>+K1043-((K1043*0.4448*0.125)+(K1043*(1-0.4448)*0.26))</f>
        <v>0.0424825488</v>
      </c>
      <c r="M1043" s="60">
        <f t="shared" si="37"/>
        <v>0.0424825488</v>
      </c>
      <c r="N1043" s="67" t="s">
        <v>248</v>
      </c>
    </row>
    <row r="1044" spans="1:14" s="30" customFormat="1" ht="23.25" customHeight="1">
      <c r="A1044" s="94"/>
      <c r="B1044" s="12" t="s">
        <v>181</v>
      </c>
      <c r="C1044" s="69" t="s">
        <v>335</v>
      </c>
      <c r="D1044" s="12" t="s">
        <v>410</v>
      </c>
      <c r="E1044" s="65">
        <v>44469</v>
      </c>
      <c r="F1044" s="66">
        <v>44470</v>
      </c>
      <c r="G1044" s="66">
        <v>44475</v>
      </c>
      <c r="H1044" s="70">
        <v>0.045</v>
      </c>
      <c r="I1044" s="60">
        <v>0.9492</v>
      </c>
      <c r="J1044" s="113">
        <v>0</v>
      </c>
      <c r="K1044" s="113">
        <v>0.9492</v>
      </c>
      <c r="L1044" s="60">
        <f>+K1044-((K1044*0.4448*0.125)+(K1044*(1-0.4448)*0.26))</f>
        <v>0.7594055616000001</v>
      </c>
      <c r="M1044" s="60">
        <f t="shared" si="37"/>
        <v>0.7594055616000001</v>
      </c>
      <c r="N1044" s="67" t="s">
        <v>248</v>
      </c>
    </row>
    <row r="1045" spans="1:14" s="30" customFormat="1" ht="23.25" customHeight="1">
      <c r="A1045" s="94"/>
      <c r="B1045" s="12" t="s">
        <v>201</v>
      </c>
      <c r="C1045" s="74" t="s">
        <v>336</v>
      </c>
      <c r="D1045" s="12" t="s">
        <v>410</v>
      </c>
      <c r="E1045" s="65">
        <v>44469</v>
      </c>
      <c r="F1045" s="66">
        <v>44470</v>
      </c>
      <c r="G1045" s="66">
        <v>44475</v>
      </c>
      <c r="H1045" s="70">
        <v>0.045</v>
      </c>
      <c r="I1045" s="60">
        <v>0.9584</v>
      </c>
      <c r="J1045" s="113">
        <v>0</v>
      </c>
      <c r="K1045" s="113">
        <v>0.9584</v>
      </c>
      <c r="L1045" s="60">
        <f>+K1045-((K1045*0.4448*0.125)+(K1045*(1-0.4448)*0.26))</f>
        <v>0.7667660032</v>
      </c>
      <c r="M1045" s="60">
        <f t="shared" si="37"/>
        <v>0.7667660032</v>
      </c>
      <c r="N1045" s="67" t="s">
        <v>248</v>
      </c>
    </row>
    <row r="1046" spans="1:14" s="30" customFormat="1" ht="23.25" customHeight="1">
      <c r="A1046" s="94"/>
      <c r="B1046" s="12" t="s">
        <v>138</v>
      </c>
      <c r="C1046" s="64" t="s">
        <v>337</v>
      </c>
      <c r="D1046" s="12" t="s">
        <v>410</v>
      </c>
      <c r="E1046" s="65">
        <v>44469</v>
      </c>
      <c r="F1046" s="66">
        <v>44470</v>
      </c>
      <c r="G1046" s="66">
        <v>44475</v>
      </c>
      <c r="H1046" s="70">
        <v>0.05</v>
      </c>
      <c r="I1046" s="60">
        <v>0.0718</v>
      </c>
      <c r="J1046" s="113">
        <v>0</v>
      </c>
      <c r="K1046" s="113">
        <v>0.0718</v>
      </c>
      <c r="L1046" s="60">
        <f>+K1046-((K1046*0.28008*0.125)+(K1046*(1-0.272)*0.26))</f>
        <v>0.055695978</v>
      </c>
      <c r="M1046" s="60">
        <f t="shared" si="37"/>
        <v>0.055695978</v>
      </c>
      <c r="N1046" s="67" t="s">
        <v>248</v>
      </c>
    </row>
    <row r="1047" spans="1:14" s="30" customFormat="1" ht="23.25" customHeight="1">
      <c r="A1047" s="94"/>
      <c r="B1047" s="12" t="s">
        <v>160</v>
      </c>
      <c r="C1047" s="69" t="s">
        <v>338</v>
      </c>
      <c r="D1047" s="12" t="s">
        <v>410</v>
      </c>
      <c r="E1047" s="65">
        <v>44469</v>
      </c>
      <c r="F1047" s="66">
        <v>44470</v>
      </c>
      <c r="G1047" s="66">
        <v>44475</v>
      </c>
      <c r="H1047" s="70">
        <v>0.05</v>
      </c>
      <c r="I1047" s="60">
        <v>0.0711</v>
      </c>
      <c r="J1047" s="113">
        <v>0</v>
      </c>
      <c r="K1047" s="113">
        <v>0.0711</v>
      </c>
      <c r="L1047" s="60">
        <f>+K1047-((K1047*0.28008*0.125)+(K1047*(1-0.272)*0.26))</f>
        <v>0.055152981</v>
      </c>
      <c r="M1047" s="60">
        <f t="shared" si="37"/>
        <v>0.055152981</v>
      </c>
      <c r="N1047" s="67" t="s">
        <v>248</v>
      </c>
    </row>
    <row r="1048" spans="1:14" s="30" customFormat="1" ht="23.25" customHeight="1">
      <c r="A1048" s="94"/>
      <c r="B1048" s="12" t="s">
        <v>300</v>
      </c>
      <c r="C1048" s="64" t="s">
        <v>404</v>
      </c>
      <c r="D1048" s="12" t="s">
        <v>410</v>
      </c>
      <c r="E1048" s="65">
        <v>44469</v>
      </c>
      <c r="F1048" s="66">
        <v>44470</v>
      </c>
      <c r="G1048" s="66">
        <v>44475</v>
      </c>
      <c r="H1048" s="70">
        <v>0.05</v>
      </c>
      <c r="I1048" s="60">
        <v>0.0556</v>
      </c>
      <c r="J1048" s="113">
        <v>0</v>
      </c>
      <c r="K1048" s="113">
        <v>0.0556</v>
      </c>
      <c r="L1048" s="60">
        <f>+K1048-((K1048*0.28008*0.125)+(K1048*(1-0.272)*0.26))</f>
        <v>0.043129476</v>
      </c>
      <c r="M1048" s="60">
        <f t="shared" si="37"/>
        <v>0.043129476</v>
      </c>
      <c r="N1048" s="67" t="s">
        <v>248</v>
      </c>
    </row>
    <row r="1049" spans="1:252" s="30" customFormat="1" ht="23.25" customHeight="1">
      <c r="A1049" s="94"/>
      <c r="B1049" s="12" t="s">
        <v>310</v>
      </c>
      <c r="C1049" s="64" t="s">
        <v>424</v>
      </c>
      <c r="D1049" s="12" t="s">
        <v>411</v>
      </c>
      <c r="E1049" s="65">
        <v>44469</v>
      </c>
      <c r="F1049" s="66">
        <v>44470</v>
      </c>
      <c r="G1049" s="66">
        <v>44475</v>
      </c>
      <c r="H1049" s="70">
        <v>0.05</v>
      </c>
      <c r="I1049" s="60">
        <v>0.0205</v>
      </c>
      <c r="J1049" s="113">
        <v>0</v>
      </c>
      <c r="K1049" s="113">
        <v>0.0205</v>
      </c>
      <c r="L1049" s="60">
        <f>+K1049-((K1049*0.0367*0.125)+(K1049*(1-0.0367)*0.26))</f>
        <v>0.01527156725</v>
      </c>
      <c r="M1049" s="60">
        <f aca="true" t="shared" si="38" ref="M1049:M1080">J1049+L1049</f>
        <v>0.01527156725</v>
      </c>
      <c r="N1049" s="67" t="s">
        <v>251</v>
      </c>
      <c r="IR1049" s="94"/>
    </row>
    <row r="1050" spans="1:252" s="30" customFormat="1" ht="23.25" customHeight="1">
      <c r="A1050" s="94"/>
      <c r="B1050" s="12" t="s">
        <v>188</v>
      </c>
      <c r="C1050" s="69" t="s">
        <v>339</v>
      </c>
      <c r="D1050" s="12" t="s">
        <v>411</v>
      </c>
      <c r="E1050" s="65">
        <v>44469</v>
      </c>
      <c r="F1050" s="66">
        <v>44470</v>
      </c>
      <c r="G1050" s="66">
        <v>44475</v>
      </c>
      <c r="H1050" s="70">
        <v>0.05</v>
      </c>
      <c r="I1050" s="60">
        <v>0.3588</v>
      </c>
      <c r="J1050" s="113">
        <v>0</v>
      </c>
      <c r="K1050" s="113">
        <v>0.3588</v>
      </c>
      <c r="L1050" s="60">
        <f>+K1050-((K1050*0.0367*0.125)+(K1050*(1-0.0367)*0.26))</f>
        <v>0.26728967459999997</v>
      </c>
      <c r="M1050" s="60">
        <f t="shared" si="38"/>
        <v>0.26728967459999997</v>
      </c>
      <c r="N1050" s="67" t="s">
        <v>251</v>
      </c>
      <c r="IR1050" s="94"/>
    </row>
    <row r="1051" spans="1:252" s="30" customFormat="1" ht="23.25" customHeight="1">
      <c r="A1051" s="94"/>
      <c r="B1051" s="12" t="s">
        <v>196</v>
      </c>
      <c r="C1051" s="74" t="s">
        <v>340</v>
      </c>
      <c r="D1051" s="73" t="s">
        <v>411</v>
      </c>
      <c r="E1051" s="65">
        <v>44469</v>
      </c>
      <c r="F1051" s="66">
        <v>44470</v>
      </c>
      <c r="G1051" s="66">
        <v>44475</v>
      </c>
      <c r="H1051" s="70">
        <v>0.05</v>
      </c>
      <c r="I1051" s="60">
        <v>0.3726</v>
      </c>
      <c r="J1051" s="113">
        <v>0</v>
      </c>
      <c r="K1051" s="113">
        <v>0.3726</v>
      </c>
      <c r="L1051" s="60">
        <f>+K1051-((K1051*0.0367*0.125)+(K1051*(1-0.0367)*0.26))</f>
        <v>0.27757004669999996</v>
      </c>
      <c r="M1051" s="60">
        <f t="shared" si="38"/>
        <v>0.27757004669999996</v>
      </c>
      <c r="N1051" s="67" t="s">
        <v>251</v>
      </c>
      <c r="IR1051" s="94"/>
    </row>
    <row r="1052" spans="1:14" s="30" customFormat="1" ht="23.25" customHeight="1">
      <c r="A1052" s="94"/>
      <c r="B1052" s="12" t="s">
        <v>142</v>
      </c>
      <c r="C1052" s="64" t="s">
        <v>341</v>
      </c>
      <c r="D1052" s="12" t="s">
        <v>410</v>
      </c>
      <c r="E1052" s="65">
        <v>44469</v>
      </c>
      <c r="F1052" s="66">
        <v>44470</v>
      </c>
      <c r="G1052" s="66">
        <v>44475</v>
      </c>
      <c r="H1052" s="70">
        <v>0.0525</v>
      </c>
      <c r="I1052" s="60">
        <v>0.077</v>
      </c>
      <c r="J1052" s="113">
        <v>0</v>
      </c>
      <c r="K1052" s="113">
        <v>0.077</v>
      </c>
      <c r="L1052" s="60">
        <f>+K1052-((K1052*0.0693*0.125)+(K1052*(1-0.0693)*0.26))</f>
        <v>0.0577003735</v>
      </c>
      <c r="M1052" s="60">
        <f t="shared" si="38"/>
        <v>0.0577003735</v>
      </c>
      <c r="N1052" s="67" t="s">
        <v>248</v>
      </c>
    </row>
    <row r="1053" spans="1:14" s="30" customFormat="1" ht="23.25" customHeight="1">
      <c r="A1053" s="94"/>
      <c r="B1053" s="12" t="s">
        <v>159</v>
      </c>
      <c r="C1053" s="69" t="s">
        <v>342</v>
      </c>
      <c r="D1053" s="12" t="s">
        <v>410</v>
      </c>
      <c r="E1053" s="65">
        <v>44469</v>
      </c>
      <c r="F1053" s="66">
        <v>44470</v>
      </c>
      <c r="G1053" s="66">
        <v>44475</v>
      </c>
      <c r="H1053" s="70">
        <v>0.0525</v>
      </c>
      <c r="I1053" s="60">
        <v>0.0764</v>
      </c>
      <c r="J1053" s="113">
        <v>0</v>
      </c>
      <c r="K1053" s="113">
        <v>0.0764</v>
      </c>
      <c r="L1053" s="60">
        <f>+K1053-((K1053*0.0693*0.125)+(K1053*(1-0.0693)*0.26))</f>
        <v>0.0572507602</v>
      </c>
      <c r="M1053" s="60">
        <f t="shared" si="38"/>
        <v>0.0572507602</v>
      </c>
      <c r="N1053" s="67" t="s">
        <v>248</v>
      </c>
    </row>
    <row r="1054" spans="1:14" s="30" customFormat="1" ht="23.25" customHeight="1">
      <c r="A1054" s="94"/>
      <c r="B1054" s="12" t="s">
        <v>510</v>
      </c>
      <c r="C1054" s="69" t="s">
        <v>511</v>
      </c>
      <c r="D1054" s="12" t="s">
        <v>410</v>
      </c>
      <c r="E1054" s="65">
        <v>44469</v>
      </c>
      <c r="F1054" s="66">
        <v>44470</v>
      </c>
      <c r="G1054" s="66">
        <v>44475</v>
      </c>
      <c r="H1054" s="70">
        <v>0.0525</v>
      </c>
      <c r="I1054" s="60">
        <v>0.0609</v>
      </c>
      <c r="J1054" s="113">
        <v>0</v>
      </c>
      <c r="K1054" s="113">
        <v>0.0609</v>
      </c>
      <c r="L1054" s="60">
        <f>+K1054-((K1054*0.0693*0.125)+(K1054*(1-0.0693)*0.26))</f>
        <v>0.04563574995</v>
      </c>
      <c r="M1054" s="60">
        <f t="shared" si="38"/>
        <v>0.04563574995</v>
      </c>
      <c r="N1054" s="73" t="s">
        <v>248</v>
      </c>
    </row>
    <row r="1055" spans="1:14" s="30" customFormat="1" ht="23.25" customHeight="1">
      <c r="A1055" s="94"/>
      <c r="B1055" s="12" t="s">
        <v>139</v>
      </c>
      <c r="C1055" s="64" t="s">
        <v>344</v>
      </c>
      <c r="D1055" s="12" t="s">
        <v>410</v>
      </c>
      <c r="E1055" s="65">
        <v>44469</v>
      </c>
      <c r="F1055" s="66">
        <v>44470</v>
      </c>
      <c r="G1055" s="66">
        <v>44475</v>
      </c>
      <c r="H1055" s="67">
        <v>0.035</v>
      </c>
      <c r="I1055" s="60">
        <v>0.0379</v>
      </c>
      <c r="J1055" s="113">
        <v>0</v>
      </c>
      <c r="K1055" s="113">
        <v>0.0379</v>
      </c>
      <c r="L1055" s="60">
        <f>+K1055-((K1055*0.7506*0.125)+(K1055*(1-0.7506)*0.26))</f>
        <v>0.031886444900000005</v>
      </c>
      <c r="M1055" s="60">
        <f t="shared" si="38"/>
        <v>0.031886444900000005</v>
      </c>
      <c r="N1055" s="67" t="s">
        <v>248</v>
      </c>
    </row>
    <row r="1056" spans="1:14" s="30" customFormat="1" ht="23.25" customHeight="1">
      <c r="A1056" s="94"/>
      <c r="B1056" s="12" t="s">
        <v>161</v>
      </c>
      <c r="C1056" s="69" t="s">
        <v>345</v>
      </c>
      <c r="D1056" s="12" t="s">
        <v>410</v>
      </c>
      <c r="E1056" s="65">
        <v>44469</v>
      </c>
      <c r="F1056" s="66">
        <v>44470</v>
      </c>
      <c r="G1056" s="66">
        <v>44475</v>
      </c>
      <c r="H1056" s="67">
        <v>0.035</v>
      </c>
      <c r="I1056" s="60">
        <v>0.0377</v>
      </c>
      <c r="J1056" s="113">
        <v>0</v>
      </c>
      <c r="K1056" s="113">
        <v>0.0377</v>
      </c>
      <c r="L1056" s="60">
        <f>+K1056-((K1056*0.7506*0.125)+(K1056*(1-0.7506)*0.26))</f>
        <v>0.031718178699999995</v>
      </c>
      <c r="M1056" s="60">
        <f t="shared" si="38"/>
        <v>0.031718178699999995</v>
      </c>
      <c r="N1056" s="67" t="s">
        <v>248</v>
      </c>
    </row>
    <row r="1057" spans="1:14" s="30" customFormat="1" ht="23.25" customHeight="1">
      <c r="A1057" s="94"/>
      <c r="B1057" s="12" t="s">
        <v>191</v>
      </c>
      <c r="C1057" s="69" t="s">
        <v>346</v>
      </c>
      <c r="D1057" s="12" t="s">
        <v>411</v>
      </c>
      <c r="E1057" s="65">
        <v>44469</v>
      </c>
      <c r="F1057" s="66">
        <v>44470</v>
      </c>
      <c r="G1057" s="66">
        <v>44475</v>
      </c>
      <c r="H1057" s="67">
        <v>0.035</v>
      </c>
      <c r="I1057" s="60">
        <v>0.0141</v>
      </c>
      <c r="J1057" s="113">
        <v>0</v>
      </c>
      <c r="K1057" s="113">
        <v>0.0141</v>
      </c>
      <c r="L1057" s="60">
        <f>+K1057-((K1057*0.7506*0.125)+(K1057*(1-0.7506)*0.26))</f>
        <v>0.0118627671</v>
      </c>
      <c r="M1057" s="60">
        <f t="shared" si="38"/>
        <v>0.0118627671</v>
      </c>
      <c r="N1057" s="67" t="s">
        <v>251</v>
      </c>
    </row>
    <row r="1058" spans="1:14" s="30" customFormat="1" ht="23.25" customHeight="1">
      <c r="A1058" s="94"/>
      <c r="B1058" s="12" t="s">
        <v>199</v>
      </c>
      <c r="C1058" s="74" t="s">
        <v>347</v>
      </c>
      <c r="D1058" s="73" t="s">
        <v>411</v>
      </c>
      <c r="E1058" s="65">
        <v>44469</v>
      </c>
      <c r="F1058" s="66">
        <v>44470</v>
      </c>
      <c r="G1058" s="66">
        <v>44475</v>
      </c>
      <c r="H1058" s="67">
        <v>0.035</v>
      </c>
      <c r="I1058" s="60">
        <v>0.014</v>
      </c>
      <c r="J1058" s="113">
        <v>0</v>
      </c>
      <c r="K1058" s="113">
        <v>0.014</v>
      </c>
      <c r="L1058" s="60">
        <f>+K1058-((K1058*0.7506*0.125)+(K1058*(1-0.7506)*0.26))</f>
        <v>0.011778634</v>
      </c>
      <c r="M1058" s="60">
        <f t="shared" si="38"/>
        <v>0.011778634</v>
      </c>
      <c r="N1058" s="67" t="s">
        <v>251</v>
      </c>
    </row>
    <row r="1059" spans="1:14" s="30" customFormat="1" ht="23.25" customHeight="1">
      <c r="A1059" s="94"/>
      <c r="B1059" s="12" t="s">
        <v>141</v>
      </c>
      <c r="C1059" s="64" t="s">
        <v>348</v>
      </c>
      <c r="D1059" s="12" t="s">
        <v>410</v>
      </c>
      <c r="E1059" s="65">
        <v>44469</v>
      </c>
      <c r="F1059" s="66">
        <v>44470</v>
      </c>
      <c r="G1059" s="66">
        <v>44475</v>
      </c>
      <c r="H1059" s="70">
        <v>0.0425</v>
      </c>
      <c r="I1059" s="60">
        <v>0.0504</v>
      </c>
      <c r="J1059" s="113">
        <v>0</v>
      </c>
      <c r="K1059" s="113">
        <v>0.0504</v>
      </c>
      <c r="L1059" s="60">
        <f>+K1059-((K1059*0.0703*0.125)+(K1059*(1-0.0703)*0.26))</f>
        <v>0.0377743212</v>
      </c>
      <c r="M1059" s="60">
        <f t="shared" si="38"/>
        <v>0.0377743212</v>
      </c>
      <c r="N1059" s="67" t="s">
        <v>248</v>
      </c>
    </row>
    <row r="1060" spans="1:14" s="30" customFormat="1" ht="23.25" customHeight="1">
      <c r="A1060" s="94"/>
      <c r="B1060" s="12" t="s">
        <v>140</v>
      </c>
      <c r="C1060" s="64" t="s">
        <v>349</v>
      </c>
      <c r="D1060" s="12" t="s">
        <v>410</v>
      </c>
      <c r="E1060" s="65">
        <v>44469</v>
      </c>
      <c r="F1060" s="66">
        <v>44470</v>
      </c>
      <c r="G1060" s="66">
        <v>44475</v>
      </c>
      <c r="H1060" s="70">
        <v>0.0425</v>
      </c>
      <c r="I1060" s="60">
        <v>0.0516</v>
      </c>
      <c r="J1060" s="113">
        <v>0</v>
      </c>
      <c r="K1060" s="113">
        <v>0.0516</v>
      </c>
      <c r="L1060" s="60">
        <f>+K1060-((K1060*0.0703*0.125)+(K1060*(1-0.0703)*0.26))</f>
        <v>0.0386737098</v>
      </c>
      <c r="M1060" s="60">
        <f t="shared" si="38"/>
        <v>0.0386737098</v>
      </c>
      <c r="N1060" s="67" t="s">
        <v>248</v>
      </c>
    </row>
    <row r="1061" spans="1:14" s="30" customFormat="1" ht="23.25" customHeight="1">
      <c r="A1061" s="94"/>
      <c r="B1061" s="12" t="s">
        <v>162</v>
      </c>
      <c r="C1061" s="69" t="s">
        <v>350</v>
      </c>
      <c r="D1061" s="12" t="s">
        <v>410</v>
      </c>
      <c r="E1061" s="65">
        <v>44469</v>
      </c>
      <c r="F1061" s="66">
        <v>44470</v>
      </c>
      <c r="G1061" s="66">
        <v>44475</v>
      </c>
      <c r="H1061" s="70">
        <v>0.0425</v>
      </c>
      <c r="I1061" s="60">
        <v>0.0512</v>
      </c>
      <c r="J1061" s="113">
        <v>0</v>
      </c>
      <c r="K1061" s="113">
        <v>0.0512</v>
      </c>
      <c r="L1061" s="60">
        <f>+K1061-((K1061*0.0703*0.125)+(K1061*(1-0.0703)*0.26))</f>
        <v>0.038373913600000004</v>
      </c>
      <c r="M1061" s="60">
        <f t="shared" si="38"/>
        <v>0.038373913600000004</v>
      </c>
      <c r="N1061" s="67" t="s">
        <v>248</v>
      </c>
    </row>
    <row r="1062" spans="1:14" s="30" customFormat="1" ht="23.25" customHeight="1">
      <c r="A1062" s="94"/>
      <c r="B1062" s="12" t="s">
        <v>302</v>
      </c>
      <c r="C1062" s="64" t="s">
        <v>405</v>
      </c>
      <c r="D1062" s="12" t="s">
        <v>410</v>
      </c>
      <c r="E1062" s="65">
        <v>44469</v>
      </c>
      <c r="F1062" s="66">
        <v>44470</v>
      </c>
      <c r="G1062" s="66">
        <v>44475</v>
      </c>
      <c r="H1062" s="70">
        <v>0.0425</v>
      </c>
      <c r="I1062" s="60">
        <v>0.0524</v>
      </c>
      <c r="J1062" s="113">
        <v>0</v>
      </c>
      <c r="K1062" s="113">
        <v>0.0524</v>
      </c>
      <c r="L1062" s="60">
        <f>+K1062-((K1062*0.0703*0.125)+(K1062*(1-0.0703)*0.26))</f>
        <v>0.0392733022</v>
      </c>
      <c r="M1062" s="60">
        <f t="shared" si="38"/>
        <v>0.0392733022</v>
      </c>
      <c r="N1062" s="67" t="s">
        <v>248</v>
      </c>
    </row>
    <row r="1063" spans="1:14" s="30" customFormat="1" ht="23.25" customHeight="1">
      <c r="A1063" s="94"/>
      <c r="B1063" s="12" t="s">
        <v>303</v>
      </c>
      <c r="C1063" s="64" t="s">
        <v>406</v>
      </c>
      <c r="D1063" s="12" t="s">
        <v>410</v>
      </c>
      <c r="E1063" s="65">
        <v>44469</v>
      </c>
      <c r="F1063" s="66">
        <v>44470</v>
      </c>
      <c r="G1063" s="66">
        <v>44475</v>
      </c>
      <c r="H1063" s="70">
        <v>0.0425</v>
      </c>
      <c r="I1063" s="60">
        <v>0.0484</v>
      </c>
      <c r="J1063" s="113">
        <v>0</v>
      </c>
      <c r="K1063" s="113">
        <v>0.0484</v>
      </c>
      <c r="L1063" s="60">
        <f>+K1063-((K1063*0.0703*0.125)+(K1063*(1-0.0703)*0.26))</f>
        <v>0.0362753402</v>
      </c>
      <c r="M1063" s="60">
        <f t="shared" si="38"/>
        <v>0.0362753402</v>
      </c>
      <c r="N1063" s="67" t="s">
        <v>248</v>
      </c>
    </row>
    <row r="1064" spans="1:14" s="30" customFormat="1" ht="23.25" customHeight="1">
      <c r="A1064" s="94"/>
      <c r="B1064" s="12" t="s">
        <v>143</v>
      </c>
      <c r="C1064" s="64" t="s">
        <v>351</v>
      </c>
      <c r="D1064" s="12" t="s">
        <v>410</v>
      </c>
      <c r="E1064" s="65">
        <v>44469</v>
      </c>
      <c r="F1064" s="66">
        <v>44470</v>
      </c>
      <c r="G1064" s="66">
        <v>44475</v>
      </c>
      <c r="H1064" s="70">
        <v>0.004</v>
      </c>
      <c r="I1064" s="60">
        <v>0.0052</v>
      </c>
      <c r="J1064" s="113">
        <v>0</v>
      </c>
      <c r="K1064" s="113">
        <v>0.0052</v>
      </c>
      <c r="L1064" s="60">
        <f>+K1064-((K1064*0.447*0.125)+(K1064*(1-0.447)*0.26))</f>
        <v>0.004161794</v>
      </c>
      <c r="M1064" s="60">
        <f t="shared" si="38"/>
        <v>0.004161794</v>
      </c>
      <c r="N1064" s="67" t="s">
        <v>248</v>
      </c>
    </row>
    <row r="1065" spans="1:14" s="30" customFormat="1" ht="23.25" customHeight="1">
      <c r="A1065" s="94"/>
      <c r="B1065" s="12" t="s">
        <v>145</v>
      </c>
      <c r="C1065" s="64" t="s">
        <v>352</v>
      </c>
      <c r="D1065" s="12" t="s">
        <v>410</v>
      </c>
      <c r="E1065" s="65">
        <v>44469</v>
      </c>
      <c r="F1065" s="66">
        <v>44470</v>
      </c>
      <c r="G1065" s="66">
        <v>44475</v>
      </c>
      <c r="H1065" s="70">
        <v>0.0045</v>
      </c>
      <c r="I1065" s="60">
        <v>0.0058</v>
      </c>
      <c r="J1065" s="113">
        <v>0</v>
      </c>
      <c r="K1065" s="113">
        <v>0.0058</v>
      </c>
      <c r="L1065" s="60">
        <f>+K1065-((K1065*0.0019*0.125)+(K1065*(1-0.0019)*0.26))</f>
        <v>0.004293487699999999</v>
      </c>
      <c r="M1065" s="60">
        <f t="shared" si="38"/>
        <v>0.004293487699999999</v>
      </c>
      <c r="N1065" s="67" t="s">
        <v>248</v>
      </c>
    </row>
    <row r="1066" spans="1:14" s="30" customFormat="1" ht="23.25" customHeight="1">
      <c r="A1066" s="94"/>
      <c r="B1066" s="12" t="s">
        <v>144</v>
      </c>
      <c r="C1066" s="64" t="s">
        <v>353</v>
      </c>
      <c r="D1066" s="12" t="s">
        <v>410</v>
      </c>
      <c r="E1066" s="65">
        <v>44469</v>
      </c>
      <c r="F1066" s="66">
        <v>44470</v>
      </c>
      <c r="G1066" s="66">
        <v>44475</v>
      </c>
      <c r="H1066" s="70">
        <v>0.002</v>
      </c>
      <c r="I1066" s="60">
        <v>0.0026</v>
      </c>
      <c r="J1066" s="113">
        <v>0</v>
      </c>
      <c r="K1066" s="113">
        <v>0.0026</v>
      </c>
      <c r="L1066" s="60">
        <f>+K1066-((K1066*0.8672*0.125)+(K1066*(1-0.8672)*0.26))</f>
        <v>0.0022283871999999997</v>
      </c>
      <c r="M1066" s="60">
        <f t="shared" si="38"/>
        <v>0.0022283871999999997</v>
      </c>
      <c r="N1066" s="67" t="s">
        <v>248</v>
      </c>
    </row>
    <row r="1067" spans="1:14" s="30" customFormat="1" ht="23.25" customHeight="1">
      <c r="A1067" s="94"/>
      <c r="B1067" s="12" t="s">
        <v>306</v>
      </c>
      <c r="C1067" s="64" t="s">
        <v>430</v>
      </c>
      <c r="D1067" s="12" t="s">
        <v>411</v>
      </c>
      <c r="E1067" s="65">
        <v>44469</v>
      </c>
      <c r="F1067" s="66">
        <v>44470</v>
      </c>
      <c r="G1067" s="66">
        <v>44475</v>
      </c>
      <c r="H1067" s="70">
        <v>0.025</v>
      </c>
      <c r="I1067" s="60">
        <v>0.0103</v>
      </c>
      <c r="J1067" s="113">
        <v>0</v>
      </c>
      <c r="K1067" s="113">
        <v>0.0103</v>
      </c>
      <c r="L1067" s="60">
        <f>+K1067-((K1067*0.0002*0.125)+(K1067*(1-0.0002)*0.26))</f>
        <v>0.007622278099999999</v>
      </c>
      <c r="M1067" s="60">
        <f t="shared" si="38"/>
        <v>0.007622278099999999</v>
      </c>
      <c r="N1067" s="67" t="s">
        <v>251</v>
      </c>
    </row>
    <row r="1068" spans="1:14" s="30" customFormat="1" ht="23.25" customHeight="1">
      <c r="A1068" s="94"/>
      <c r="B1068" s="12" t="s">
        <v>184</v>
      </c>
      <c r="C1068" s="69" t="s">
        <v>354</v>
      </c>
      <c r="D1068" s="12" t="s">
        <v>411</v>
      </c>
      <c r="E1068" s="65">
        <v>44469</v>
      </c>
      <c r="F1068" s="66">
        <v>44470</v>
      </c>
      <c r="G1068" s="66">
        <v>44475</v>
      </c>
      <c r="H1068" s="70">
        <v>0.025</v>
      </c>
      <c r="I1068" s="60">
        <v>0.2075</v>
      </c>
      <c r="J1068" s="113">
        <v>0</v>
      </c>
      <c r="K1068" s="113">
        <v>0.2075</v>
      </c>
      <c r="L1068" s="60">
        <f>+K1068-((K1068*0.0002*0.125)+(K1068*(1-0.0002)*0.26))</f>
        <v>0.1535556025</v>
      </c>
      <c r="M1068" s="60">
        <f t="shared" si="38"/>
        <v>0.1535556025</v>
      </c>
      <c r="N1068" s="67" t="s">
        <v>251</v>
      </c>
    </row>
    <row r="1069" spans="1:14" s="30" customFormat="1" ht="23.25" customHeight="1">
      <c r="A1069" s="94"/>
      <c r="B1069" s="12" t="s">
        <v>192</v>
      </c>
      <c r="C1069" s="74" t="s">
        <v>355</v>
      </c>
      <c r="D1069" s="73" t="s">
        <v>411</v>
      </c>
      <c r="E1069" s="65">
        <v>44469</v>
      </c>
      <c r="F1069" s="66">
        <v>44470</v>
      </c>
      <c r="G1069" s="66">
        <v>44475</v>
      </c>
      <c r="H1069" s="70">
        <v>0.025</v>
      </c>
      <c r="I1069" s="60">
        <v>0.2096</v>
      </c>
      <c r="J1069" s="113">
        <v>0</v>
      </c>
      <c r="K1069" s="113">
        <v>0.2096</v>
      </c>
      <c r="L1069" s="60">
        <f>+K1069-((K1069*0.0002*0.125)+(K1069*(1-0.0002)*0.26))</f>
        <v>0.1551096592</v>
      </c>
      <c r="M1069" s="60">
        <f t="shared" si="38"/>
        <v>0.1551096592</v>
      </c>
      <c r="N1069" s="67" t="s">
        <v>251</v>
      </c>
    </row>
    <row r="1070" spans="1:14" s="30" customFormat="1" ht="23.25" customHeight="1">
      <c r="A1070" s="94"/>
      <c r="B1070" s="12" t="s">
        <v>311</v>
      </c>
      <c r="C1070" s="64" t="s">
        <v>425</v>
      </c>
      <c r="D1070" s="12" t="s">
        <v>411</v>
      </c>
      <c r="E1070" s="65">
        <v>44469</v>
      </c>
      <c r="F1070" s="66">
        <v>44470</v>
      </c>
      <c r="G1070" s="66">
        <v>44475</v>
      </c>
      <c r="H1070" s="70">
        <v>0.015</v>
      </c>
      <c r="I1070" s="60">
        <v>0.0061</v>
      </c>
      <c r="J1070" s="113">
        <v>0</v>
      </c>
      <c r="K1070" s="113">
        <v>0.0061</v>
      </c>
      <c r="L1070" s="60">
        <f>+K1070-((K1070*0.0000001*0.125)+(K1070*(1-0.0000001)*0.26))</f>
        <v>0.00451400008235</v>
      </c>
      <c r="M1070" s="60">
        <f t="shared" si="38"/>
        <v>0.00451400008235</v>
      </c>
      <c r="N1070" s="67" t="s">
        <v>251</v>
      </c>
    </row>
    <row r="1071" spans="1:14" s="30" customFormat="1" ht="23.25" customHeight="1">
      <c r="A1071" s="94"/>
      <c r="B1071" s="12" t="s">
        <v>189</v>
      </c>
      <c r="C1071" s="69" t="s">
        <v>356</v>
      </c>
      <c r="D1071" s="12" t="s">
        <v>411</v>
      </c>
      <c r="E1071" s="65">
        <v>44469</v>
      </c>
      <c r="F1071" s="66">
        <v>44470</v>
      </c>
      <c r="G1071" s="66">
        <v>44475</v>
      </c>
      <c r="H1071" s="70">
        <v>0.015</v>
      </c>
      <c r="I1071" s="60">
        <v>0.1124</v>
      </c>
      <c r="J1071" s="113">
        <v>0</v>
      </c>
      <c r="K1071" s="113">
        <v>0.1124</v>
      </c>
      <c r="L1071" s="60">
        <f>+K1071-((K1071*0.0000001*0.125)+(K1071*(1-0.0000001)*0.26))</f>
        <v>0.0831760015174</v>
      </c>
      <c r="M1071" s="60">
        <f t="shared" si="38"/>
        <v>0.0831760015174</v>
      </c>
      <c r="N1071" s="67" t="s">
        <v>251</v>
      </c>
    </row>
    <row r="1072" spans="1:14" s="30" customFormat="1" ht="23.25" customHeight="1">
      <c r="A1072" s="94"/>
      <c r="B1072" s="12" t="s">
        <v>197</v>
      </c>
      <c r="C1072" s="74" t="s">
        <v>357</v>
      </c>
      <c r="D1072" s="73" t="s">
        <v>411</v>
      </c>
      <c r="E1072" s="65">
        <v>44469</v>
      </c>
      <c r="F1072" s="66">
        <v>44470</v>
      </c>
      <c r="G1072" s="66">
        <v>44475</v>
      </c>
      <c r="H1072" s="70">
        <v>0.015</v>
      </c>
      <c r="I1072" s="60">
        <v>0.1145</v>
      </c>
      <c r="J1072" s="113">
        <v>0</v>
      </c>
      <c r="K1072" s="113">
        <v>0.1145</v>
      </c>
      <c r="L1072" s="60">
        <f>+K1072-((K1072*0.0000001*0.125)+(K1072*(1-0.0000001)*0.26))</f>
        <v>0.08473000154575</v>
      </c>
      <c r="M1072" s="60">
        <f t="shared" si="38"/>
        <v>0.08473000154575</v>
      </c>
      <c r="N1072" s="67" t="s">
        <v>251</v>
      </c>
    </row>
    <row r="1073" spans="1:14" s="30" customFormat="1" ht="23.25" customHeight="1">
      <c r="A1073" s="94"/>
      <c r="B1073" s="12" t="s">
        <v>148</v>
      </c>
      <c r="C1073" s="64" t="s">
        <v>362</v>
      </c>
      <c r="D1073" s="12" t="s">
        <v>410</v>
      </c>
      <c r="E1073" s="65">
        <v>44469</v>
      </c>
      <c r="F1073" s="66">
        <v>44470</v>
      </c>
      <c r="G1073" s="66">
        <v>44475</v>
      </c>
      <c r="H1073" s="70">
        <v>0.015</v>
      </c>
      <c r="I1073" s="60">
        <v>0.0187</v>
      </c>
      <c r="J1073" s="113">
        <v>0</v>
      </c>
      <c r="K1073" s="113">
        <v>0.0187</v>
      </c>
      <c r="L1073" s="60">
        <f>+K1073-((K1073*0.4234*0.125)+(K1073*(1-0.4234)*0.26))</f>
        <v>0.014906873300000002</v>
      </c>
      <c r="M1073" s="60">
        <f t="shared" si="38"/>
        <v>0.014906873300000002</v>
      </c>
      <c r="N1073" s="67" t="s">
        <v>248</v>
      </c>
    </row>
    <row r="1074" spans="1:14" s="30" customFormat="1" ht="23.25" customHeight="1">
      <c r="A1074" s="94"/>
      <c r="B1074" s="12" t="s">
        <v>308</v>
      </c>
      <c r="C1074" s="64" t="s">
        <v>426</v>
      </c>
      <c r="D1074" s="12" t="s">
        <v>411</v>
      </c>
      <c r="E1074" s="65">
        <v>44469</v>
      </c>
      <c r="F1074" s="66">
        <v>44470</v>
      </c>
      <c r="G1074" s="66">
        <v>44475</v>
      </c>
      <c r="H1074" s="70">
        <v>0.015</v>
      </c>
      <c r="I1074" s="60">
        <v>0.0062</v>
      </c>
      <c r="J1074" s="113">
        <v>0</v>
      </c>
      <c r="K1074" s="113">
        <v>0.0062</v>
      </c>
      <c r="L1074" s="60">
        <f>+K1074-((K1074*0.4234*0.125)+(K1074*(1-0.4234)*0.26))</f>
        <v>0.0049423858</v>
      </c>
      <c r="M1074" s="60">
        <f t="shared" si="38"/>
        <v>0.0049423858</v>
      </c>
      <c r="N1074" s="67" t="s">
        <v>251</v>
      </c>
    </row>
    <row r="1075" spans="1:14" s="30" customFormat="1" ht="23.25" customHeight="1">
      <c r="A1075" s="94"/>
      <c r="B1075" s="12" t="s">
        <v>186</v>
      </c>
      <c r="C1075" s="69" t="s">
        <v>363</v>
      </c>
      <c r="D1075" s="12" t="s">
        <v>411</v>
      </c>
      <c r="E1075" s="65">
        <v>44469</v>
      </c>
      <c r="F1075" s="66">
        <v>44470</v>
      </c>
      <c r="G1075" s="66">
        <v>44475</v>
      </c>
      <c r="H1075" s="70">
        <v>0.015</v>
      </c>
      <c r="I1075" s="60">
        <v>0.1137</v>
      </c>
      <c r="J1075" s="113">
        <v>0</v>
      </c>
      <c r="K1075" s="113">
        <v>0.1137</v>
      </c>
      <c r="L1075" s="60">
        <f>+K1075-((K1075*0.4234*0.125)+(K1075*(1-0.4234)*0.26))</f>
        <v>0.0906369783</v>
      </c>
      <c r="M1075" s="60">
        <f t="shared" si="38"/>
        <v>0.0906369783</v>
      </c>
      <c r="N1075" s="67" t="s">
        <v>251</v>
      </c>
    </row>
    <row r="1076" spans="1:14" s="30" customFormat="1" ht="23.25" customHeight="1">
      <c r="A1076" s="94"/>
      <c r="B1076" s="12" t="s">
        <v>194</v>
      </c>
      <c r="C1076" s="74" t="s">
        <v>364</v>
      </c>
      <c r="D1076" s="73" t="s">
        <v>411</v>
      </c>
      <c r="E1076" s="65">
        <v>44469</v>
      </c>
      <c r="F1076" s="66">
        <v>44470</v>
      </c>
      <c r="G1076" s="66">
        <v>44475</v>
      </c>
      <c r="H1076" s="70">
        <v>0.015</v>
      </c>
      <c r="I1076" s="60">
        <v>0.1172</v>
      </c>
      <c r="J1076" s="113">
        <v>0</v>
      </c>
      <c r="K1076" s="113">
        <v>0.1172</v>
      </c>
      <c r="L1076" s="60">
        <f>+K1076-((K1076*0.4234*0.125)+(K1076*(1-0.4234)*0.26))</f>
        <v>0.0934270348</v>
      </c>
      <c r="M1076" s="60">
        <f t="shared" si="38"/>
        <v>0.0934270348</v>
      </c>
      <c r="N1076" s="67" t="s">
        <v>251</v>
      </c>
    </row>
    <row r="1077" spans="1:14" s="30" customFormat="1" ht="23.25" customHeight="1">
      <c r="A1077" s="94"/>
      <c r="B1077" s="12" t="s">
        <v>200</v>
      </c>
      <c r="C1077" s="74" t="s">
        <v>365</v>
      </c>
      <c r="D1077" s="12" t="s">
        <v>410</v>
      </c>
      <c r="E1077" s="65">
        <v>44469</v>
      </c>
      <c r="F1077" s="66">
        <v>44470</v>
      </c>
      <c r="G1077" s="66">
        <v>44475</v>
      </c>
      <c r="H1077" s="70">
        <v>0.015</v>
      </c>
      <c r="I1077" s="60">
        <v>0.3704</v>
      </c>
      <c r="J1077" s="113">
        <v>0</v>
      </c>
      <c r="K1077" s="113">
        <v>0.3704</v>
      </c>
      <c r="L1077" s="60">
        <f>+K1077-((K1077*0.4234*0.125)+(K1077*(1-0.4234)*0.26))</f>
        <v>0.2952676936</v>
      </c>
      <c r="M1077" s="60">
        <f t="shared" si="38"/>
        <v>0.2952676936</v>
      </c>
      <c r="N1077" s="67" t="s">
        <v>248</v>
      </c>
    </row>
    <row r="1078" spans="1:14" s="30" customFormat="1" ht="23.25" customHeight="1">
      <c r="A1078" s="94"/>
      <c r="B1078" s="12" t="s">
        <v>307</v>
      </c>
      <c r="C1078" s="64" t="s">
        <v>420</v>
      </c>
      <c r="D1078" s="12" t="s">
        <v>411</v>
      </c>
      <c r="E1078" s="65">
        <v>44469</v>
      </c>
      <c r="F1078" s="66">
        <v>44470</v>
      </c>
      <c r="G1078" s="66">
        <v>44475</v>
      </c>
      <c r="H1078" s="70">
        <v>0.015</v>
      </c>
      <c r="I1078" s="60">
        <v>0.0064</v>
      </c>
      <c r="J1078" s="113">
        <v>0</v>
      </c>
      <c r="K1078" s="113">
        <v>0.0064</v>
      </c>
      <c r="L1078" s="60">
        <f>+K1078-((K1078*0.5961*0.125)+(K1078*(1-0.5961)*0.26))</f>
        <v>0.0052510304</v>
      </c>
      <c r="M1078" s="60">
        <f t="shared" si="38"/>
        <v>0.0052510304</v>
      </c>
      <c r="N1078" s="67" t="s">
        <v>251</v>
      </c>
    </row>
    <row r="1079" spans="1:14" s="30" customFormat="1" ht="23.25" customHeight="1">
      <c r="A1079" s="94"/>
      <c r="B1079" s="12" t="s">
        <v>185</v>
      </c>
      <c r="C1079" s="69" t="s">
        <v>366</v>
      </c>
      <c r="D1079" s="12" t="s">
        <v>411</v>
      </c>
      <c r="E1079" s="65">
        <v>44469</v>
      </c>
      <c r="F1079" s="66">
        <v>44470</v>
      </c>
      <c r="G1079" s="66">
        <v>44475</v>
      </c>
      <c r="H1079" s="70">
        <v>0.015</v>
      </c>
      <c r="I1079" s="60">
        <v>0.1067</v>
      </c>
      <c r="J1079" s="113">
        <v>0</v>
      </c>
      <c r="K1079" s="113">
        <v>0.1067</v>
      </c>
      <c r="L1079" s="60">
        <f>+K1079-((K1079*0.5961*0.125)+(K1079*(1-0.5961)*0.26))</f>
        <v>0.08754452245</v>
      </c>
      <c r="M1079" s="60">
        <f t="shared" si="38"/>
        <v>0.08754452245</v>
      </c>
      <c r="N1079" s="67" t="s">
        <v>251</v>
      </c>
    </row>
    <row r="1080" spans="1:14" s="30" customFormat="1" ht="23.25" customHeight="1">
      <c r="A1080" s="94"/>
      <c r="B1080" s="12" t="s">
        <v>193</v>
      </c>
      <c r="C1080" s="74" t="s">
        <v>367</v>
      </c>
      <c r="D1080" s="73" t="s">
        <v>411</v>
      </c>
      <c r="E1080" s="65">
        <v>44469</v>
      </c>
      <c r="F1080" s="66">
        <v>44470</v>
      </c>
      <c r="G1080" s="66">
        <v>44475</v>
      </c>
      <c r="H1080" s="70">
        <v>0.015</v>
      </c>
      <c r="I1080" s="60">
        <v>0.1042</v>
      </c>
      <c r="J1080" s="113">
        <v>0</v>
      </c>
      <c r="K1080" s="113">
        <v>0.1042</v>
      </c>
      <c r="L1080" s="60">
        <f>+K1080-((K1080*0.5961*0.125)+(K1080*(1-0.5961)*0.26))</f>
        <v>0.0854933387</v>
      </c>
      <c r="M1080" s="60">
        <f t="shared" si="38"/>
        <v>0.0854933387</v>
      </c>
      <c r="N1080" s="67" t="s">
        <v>251</v>
      </c>
    </row>
    <row r="1081" spans="1:14" s="30" customFormat="1" ht="23.25" customHeight="1">
      <c r="A1081" s="94"/>
      <c r="B1081" s="12" t="s">
        <v>309</v>
      </c>
      <c r="C1081" s="64" t="s">
        <v>427</v>
      </c>
      <c r="D1081" s="12" t="s">
        <v>411</v>
      </c>
      <c r="E1081" s="65">
        <v>44469</v>
      </c>
      <c r="F1081" s="66">
        <v>44470</v>
      </c>
      <c r="G1081" s="66">
        <v>44475</v>
      </c>
      <c r="H1081" s="70">
        <v>0.015</v>
      </c>
      <c r="I1081" s="60">
        <v>0.0064</v>
      </c>
      <c r="J1081" s="113">
        <v>0</v>
      </c>
      <c r="K1081" s="113">
        <v>0.0064</v>
      </c>
      <c r="L1081" s="60">
        <f>+K1081-((K1081*0.0215*0.125)+(K1081*(1-0.0215)*0.26))</f>
        <v>0.004754576</v>
      </c>
      <c r="M1081" s="60">
        <f aca="true" t="shared" si="39" ref="M1081:M1112">J1081+L1081</f>
        <v>0.004754576</v>
      </c>
      <c r="N1081" s="67" t="s">
        <v>251</v>
      </c>
    </row>
    <row r="1082" spans="1:14" s="30" customFormat="1" ht="23.25" customHeight="1">
      <c r="A1082" s="94"/>
      <c r="B1082" s="12" t="s">
        <v>187</v>
      </c>
      <c r="C1082" s="69" t="s">
        <v>368</v>
      </c>
      <c r="D1082" s="12" t="s">
        <v>411</v>
      </c>
      <c r="E1082" s="65">
        <v>44469</v>
      </c>
      <c r="F1082" s="66">
        <v>44470</v>
      </c>
      <c r="G1082" s="66">
        <v>44475</v>
      </c>
      <c r="H1082" s="70">
        <v>0.015</v>
      </c>
      <c r="I1082" s="60">
        <v>0.1123</v>
      </c>
      <c r="J1082" s="113">
        <v>0</v>
      </c>
      <c r="K1082" s="113">
        <v>0.1123</v>
      </c>
      <c r="L1082" s="60">
        <f>+K1082-((K1082*0.0215*0.125)+(K1082*(1-0.0215)*0.26))</f>
        <v>0.08342795075</v>
      </c>
      <c r="M1082" s="60">
        <f t="shared" si="39"/>
        <v>0.08342795075</v>
      </c>
      <c r="N1082" s="67" t="s">
        <v>251</v>
      </c>
    </row>
    <row r="1083" spans="1:14" s="30" customFormat="1" ht="23.25" customHeight="1">
      <c r="A1083" s="94"/>
      <c r="B1083" s="12" t="s">
        <v>195</v>
      </c>
      <c r="C1083" s="74" t="s">
        <v>369</v>
      </c>
      <c r="D1083" s="73" t="s">
        <v>411</v>
      </c>
      <c r="E1083" s="65">
        <v>44469</v>
      </c>
      <c r="F1083" s="66">
        <v>44470</v>
      </c>
      <c r="G1083" s="66">
        <v>44475</v>
      </c>
      <c r="H1083" s="70">
        <v>0.015</v>
      </c>
      <c r="I1083" s="60">
        <v>0.1161</v>
      </c>
      <c r="J1083" s="113">
        <v>0</v>
      </c>
      <c r="K1083" s="113">
        <v>0.1161</v>
      </c>
      <c r="L1083" s="60">
        <f>+K1083-((K1083*0.0215*0.125)+(K1083*(1-0.0215)*0.26))</f>
        <v>0.08625098025</v>
      </c>
      <c r="M1083" s="60">
        <f t="shared" si="39"/>
        <v>0.08625098025</v>
      </c>
      <c r="N1083" s="67" t="s">
        <v>251</v>
      </c>
    </row>
    <row r="1084" spans="1:14" s="30" customFormat="1" ht="23.25" customHeight="1">
      <c r="A1084" s="94"/>
      <c r="B1084" s="12" t="s">
        <v>312</v>
      </c>
      <c r="C1084" s="64" t="s">
        <v>428</v>
      </c>
      <c r="D1084" s="12" t="s">
        <v>411</v>
      </c>
      <c r="E1084" s="65">
        <v>44469</v>
      </c>
      <c r="F1084" s="66">
        <v>44470</v>
      </c>
      <c r="G1084" s="66">
        <v>44475</v>
      </c>
      <c r="H1084" s="70">
        <v>0.035</v>
      </c>
      <c r="I1084" s="60">
        <v>0.0135</v>
      </c>
      <c r="J1084" s="113">
        <v>0</v>
      </c>
      <c r="K1084" s="113">
        <v>0.0135</v>
      </c>
      <c r="L1084" s="60">
        <f>+K1084-((K1084*0.000000000001*0.125)+(K1084*(1-0.00000000001)*0.26))</f>
        <v>0.009990000000033413</v>
      </c>
      <c r="M1084" s="60">
        <f t="shared" si="39"/>
        <v>0.009990000000033413</v>
      </c>
      <c r="N1084" s="67" t="s">
        <v>251</v>
      </c>
    </row>
    <row r="1085" spans="1:14" s="30" customFormat="1" ht="23.25" customHeight="1">
      <c r="A1085" s="94"/>
      <c r="B1085" s="12" t="s">
        <v>190</v>
      </c>
      <c r="C1085" s="69" t="s">
        <v>370</v>
      </c>
      <c r="D1085" s="12" t="s">
        <v>411</v>
      </c>
      <c r="E1085" s="65">
        <v>44469</v>
      </c>
      <c r="F1085" s="66">
        <v>44470</v>
      </c>
      <c r="G1085" s="66">
        <v>44475</v>
      </c>
      <c r="H1085" s="70">
        <v>0.035</v>
      </c>
      <c r="I1085" s="60">
        <v>0.2555</v>
      </c>
      <c r="J1085" s="113">
        <v>0</v>
      </c>
      <c r="K1085" s="113">
        <v>0.2555</v>
      </c>
      <c r="L1085" s="60">
        <f>+K1085-((K1085*0.000000000001*0.125)+(K1085*(1-0.00000000001)*0.26))</f>
        <v>0.18907000000063237</v>
      </c>
      <c r="M1085" s="60">
        <f t="shared" si="39"/>
        <v>0.18907000000063237</v>
      </c>
      <c r="N1085" s="67" t="s">
        <v>251</v>
      </c>
    </row>
    <row r="1086" spans="1:14" s="30" customFormat="1" ht="23.25" customHeight="1">
      <c r="A1086" s="94"/>
      <c r="B1086" s="12" t="s">
        <v>198</v>
      </c>
      <c r="C1086" s="74" t="s">
        <v>371</v>
      </c>
      <c r="D1086" s="73" t="s">
        <v>411</v>
      </c>
      <c r="E1086" s="65">
        <v>44469</v>
      </c>
      <c r="F1086" s="66">
        <v>44470</v>
      </c>
      <c r="G1086" s="66">
        <v>44475</v>
      </c>
      <c r="H1086" s="70">
        <v>0.035</v>
      </c>
      <c r="I1086" s="60">
        <v>0.2564</v>
      </c>
      <c r="J1086" s="113">
        <v>0</v>
      </c>
      <c r="K1086" s="113">
        <v>0.2564</v>
      </c>
      <c r="L1086" s="60">
        <f>+K1086-((K1086*0.000000000001*0.125)+(K1086*(1-0.00000000001)*0.26))</f>
        <v>0.18973600000063462</v>
      </c>
      <c r="M1086" s="60">
        <f t="shared" si="39"/>
        <v>0.18973600000063462</v>
      </c>
      <c r="N1086" s="67" t="s">
        <v>251</v>
      </c>
    </row>
    <row r="1087" spans="1:14" s="30" customFormat="1" ht="23.25" customHeight="1">
      <c r="A1087" s="94"/>
      <c r="B1087" s="12" t="s">
        <v>516</v>
      </c>
      <c r="C1087" s="64" t="s">
        <v>518</v>
      </c>
      <c r="D1087" s="12" t="s">
        <v>411</v>
      </c>
      <c r="E1087" s="65">
        <v>44469</v>
      </c>
      <c r="F1087" s="66">
        <v>44470</v>
      </c>
      <c r="G1087" s="66">
        <v>44475</v>
      </c>
      <c r="H1087" s="70">
        <v>0.02</v>
      </c>
      <c r="I1087" s="60">
        <v>0.1347</v>
      </c>
      <c r="J1087" s="113">
        <v>0.1347</v>
      </c>
      <c r="K1087" s="113">
        <v>0</v>
      </c>
      <c r="L1087" s="60">
        <f>+K1087-((K1087*0.4282*0.125)+(K1087*(1-0.4282)*0.26))</f>
        <v>0</v>
      </c>
      <c r="M1087" s="60">
        <f t="shared" si="39"/>
        <v>0.1347</v>
      </c>
      <c r="N1087" s="67" t="s">
        <v>251</v>
      </c>
    </row>
    <row r="1088" spans="1:14" s="30" customFormat="1" ht="23.25" customHeight="1">
      <c r="A1088" s="94"/>
      <c r="B1088" s="12" t="s">
        <v>517</v>
      </c>
      <c r="C1088" s="64" t="s">
        <v>519</v>
      </c>
      <c r="D1088" s="12" t="s">
        <v>411</v>
      </c>
      <c r="E1088" s="65">
        <v>44469</v>
      </c>
      <c r="F1088" s="66">
        <v>44470</v>
      </c>
      <c r="G1088" s="66">
        <v>44475</v>
      </c>
      <c r="H1088" s="70">
        <v>0.02</v>
      </c>
      <c r="I1088" s="60">
        <v>0.1356</v>
      </c>
      <c r="J1088" s="113">
        <v>0.1356</v>
      </c>
      <c r="K1088" s="113">
        <v>0</v>
      </c>
      <c r="L1088" s="60">
        <f>+K1088-((K1088*0.4282*0.125)+(K1088*(1-0.4282)*0.26))</f>
        <v>0</v>
      </c>
      <c r="M1088" s="60">
        <f t="shared" si="39"/>
        <v>0.1356</v>
      </c>
      <c r="N1088" s="67" t="s">
        <v>251</v>
      </c>
    </row>
    <row r="1089" spans="2:14" s="30" customFormat="1" ht="23.25" customHeight="1">
      <c r="B1089" s="12" t="s">
        <v>173</v>
      </c>
      <c r="C1089" s="74" t="s">
        <v>372</v>
      </c>
      <c r="D1089" s="12" t="s">
        <v>410</v>
      </c>
      <c r="E1089" s="65">
        <v>44469</v>
      </c>
      <c r="F1089" s="66">
        <v>44470</v>
      </c>
      <c r="G1089" s="66">
        <v>44475</v>
      </c>
      <c r="H1089" s="70">
        <v>0.01</v>
      </c>
      <c r="I1089" s="60">
        <v>0.0138</v>
      </c>
      <c r="J1089" s="113">
        <v>0</v>
      </c>
      <c r="K1089" s="113">
        <v>0.0138</v>
      </c>
      <c r="L1089" s="60">
        <f>+K1089-((K1089*0.2893*0.125)+(K1089*(1-0.2893)*0.26))</f>
        <v>0.0107509659</v>
      </c>
      <c r="M1089" s="60">
        <f t="shared" si="39"/>
        <v>0.0107509659</v>
      </c>
      <c r="N1089" s="67" t="s">
        <v>248</v>
      </c>
    </row>
    <row r="1090" spans="2:14" s="30" customFormat="1" ht="23.25" customHeight="1">
      <c r="B1090" s="12" t="s">
        <v>150</v>
      </c>
      <c r="C1090" s="64" t="s">
        <v>377</v>
      </c>
      <c r="D1090" s="12" t="s">
        <v>410</v>
      </c>
      <c r="E1090" s="65">
        <v>44469</v>
      </c>
      <c r="F1090" s="66">
        <v>44470</v>
      </c>
      <c r="G1090" s="66">
        <v>44475</v>
      </c>
      <c r="H1090" s="70">
        <v>0.025</v>
      </c>
      <c r="I1090" s="60">
        <v>0.0354</v>
      </c>
      <c r="J1090" s="113">
        <v>0</v>
      </c>
      <c r="K1090" s="113">
        <v>0.0354</v>
      </c>
      <c r="L1090" s="60">
        <f>+K1090-((K1090*0.0024*0.125)+(K1090*(1-0.0024)*0.26))</f>
        <v>0.026207469599999998</v>
      </c>
      <c r="M1090" s="60">
        <f t="shared" si="39"/>
        <v>0.026207469599999998</v>
      </c>
      <c r="N1090" s="67" t="s">
        <v>248</v>
      </c>
    </row>
    <row r="1091" spans="2:14" s="30" customFormat="1" ht="23.25" customHeight="1">
      <c r="B1091" s="12" t="s">
        <v>513</v>
      </c>
      <c r="C1091" s="64" t="s">
        <v>512</v>
      </c>
      <c r="D1091" s="12" t="s">
        <v>410</v>
      </c>
      <c r="E1091" s="65">
        <v>44469</v>
      </c>
      <c r="F1091" s="66">
        <v>44470</v>
      </c>
      <c r="G1091" s="66">
        <v>44475</v>
      </c>
      <c r="H1091" s="70">
        <v>0.025</v>
      </c>
      <c r="I1091" s="60">
        <v>0.0315</v>
      </c>
      <c r="J1091" s="113">
        <v>0</v>
      </c>
      <c r="K1091" s="113">
        <v>0.0315</v>
      </c>
      <c r="L1091" s="60">
        <f>+K1091-((K1091*0.0024*0.125)+(K1091*(1-0.0024)*0.26))</f>
        <v>0.023320206000000003</v>
      </c>
      <c r="M1091" s="60">
        <f t="shared" si="39"/>
        <v>0.023320206000000003</v>
      </c>
      <c r="N1091" s="67" t="s">
        <v>248</v>
      </c>
    </row>
    <row r="1092" spans="2:14" s="30" customFormat="1" ht="23.25" customHeight="1">
      <c r="B1092" s="12" t="s">
        <v>441</v>
      </c>
      <c r="C1092" s="64" t="s">
        <v>444</v>
      </c>
      <c r="D1092" s="12" t="s">
        <v>410</v>
      </c>
      <c r="E1092" s="65">
        <v>44469</v>
      </c>
      <c r="F1092" s="66">
        <v>44470</v>
      </c>
      <c r="G1092" s="66">
        <v>44475</v>
      </c>
      <c r="H1092" s="70">
        <v>0.0075</v>
      </c>
      <c r="I1092" s="60">
        <v>0.0086</v>
      </c>
      <c r="J1092" s="113">
        <v>0</v>
      </c>
      <c r="K1092" s="113">
        <v>0.0086</v>
      </c>
      <c r="L1092" s="60">
        <f>+K1092-((K1092*0.3946*0.125)+(K1092*(1-0.3946)*0.26))</f>
        <v>0.0068221306</v>
      </c>
      <c r="M1092" s="60">
        <f t="shared" si="39"/>
        <v>0.0068221306</v>
      </c>
      <c r="N1092" s="67" t="s">
        <v>248</v>
      </c>
    </row>
    <row r="1093" spans="2:14" s="30" customFormat="1" ht="23.25" customHeight="1">
      <c r="B1093" s="12" t="s">
        <v>440</v>
      </c>
      <c r="C1093" s="64" t="s">
        <v>443</v>
      </c>
      <c r="D1093" s="12" t="s">
        <v>410</v>
      </c>
      <c r="E1093" s="65">
        <v>44469</v>
      </c>
      <c r="F1093" s="66">
        <v>44470</v>
      </c>
      <c r="G1093" s="66">
        <v>44475</v>
      </c>
      <c r="H1093" s="70">
        <v>0.0075</v>
      </c>
      <c r="I1093" s="60">
        <v>0.1753</v>
      </c>
      <c r="J1093" s="113">
        <v>0</v>
      </c>
      <c r="K1093" s="113">
        <v>0.1753</v>
      </c>
      <c r="L1093" s="60">
        <f>+K1093-((K1093*0.3946*0.125)+(K1093*(1-0.3946)*0.26))</f>
        <v>0.1390604063</v>
      </c>
      <c r="M1093" s="60">
        <f t="shared" si="39"/>
        <v>0.1390604063</v>
      </c>
      <c r="N1093" s="67" t="s">
        <v>248</v>
      </c>
    </row>
    <row r="1094" spans="2:14" s="30" customFormat="1" ht="23.25" customHeight="1">
      <c r="B1094" s="12" t="s">
        <v>299</v>
      </c>
      <c r="C1094" s="64" t="s">
        <v>520</v>
      </c>
      <c r="D1094" s="12" t="s">
        <v>410</v>
      </c>
      <c r="E1094" s="65">
        <v>44469</v>
      </c>
      <c r="F1094" s="66">
        <v>44470</v>
      </c>
      <c r="G1094" s="66">
        <v>44475</v>
      </c>
      <c r="H1094" s="70">
        <v>0.012</v>
      </c>
      <c r="I1094" s="60">
        <v>0.0148</v>
      </c>
      <c r="J1094" s="113">
        <v>0</v>
      </c>
      <c r="K1094" s="113">
        <v>0.0148</v>
      </c>
      <c r="L1094" s="60">
        <f>+K1094-((K1094*0.3226*0.125)+(K1094*(1-0.3226)*0.26))</f>
        <v>0.0115965548</v>
      </c>
      <c r="M1094" s="60">
        <f t="shared" si="39"/>
        <v>0.0115965548</v>
      </c>
      <c r="N1094" s="67" t="s">
        <v>248</v>
      </c>
    </row>
    <row r="1095" spans="2:14" s="30" customFormat="1" ht="23.25" customHeight="1">
      <c r="B1095" s="12" t="s">
        <v>182</v>
      </c>
      <c r="C1095" s="69" t="s">
        <v>479</v>
      </c>
      <c r="D1095" s="12" t="s">
        <v>410</v>
      </c>
      <c r="E1095" s="65">
        <v>44469</v>
      </c>
      <c r="F1095" s="66">
        <v>44470</v>
      </c>
      <c r="G1095" s="66">
        <v>44475</v>
      </c>
      <c r="H1095" s="70">
        <v>0.012</v>
      </c>
      <c r="I1095" s="60">
        <v>0.2891</v>
      </c>
      <c r="J1095" s="113">
        <v>0</v>
      </c>
      <c r="K1095" s="113">
        <v>0.2891</v>
      </c>
      <c r="L1095" s="60">
        <f>+K1095-((K1095*0.3226*0.125)+(K1095*(1-0.3226)*0.26))</f>
        <v>0.22652459410000003</v>
      </c>
      <c r="M1095" s="60">
        <f t="shared" si="39"/>
        <v>0.22652459410000003</v>
      </c>
      <c r="N1095" s="67" t="s">
        <v>248</v>
      </c>
    </row>
    <row r="1096" spans="2:14" s="30" customFormat="1" ht="23.25" customHeight="1">
      <c r="B1096" s="12" t="s">
        <v>202</v>
      </c>
      <c r="C1096" s="74" t="s">
        <v>480</v>
      </c>
      <c r="D1096" s="12" t="s">
        <v>410</v>
      </c>
      <c r="E1096" s="65">
        <v>44469</v>
      </c>
      <c r="F1096" s="66">
        <v>44470</v>
      </c>
      <c r="G1096" s="66">
        <v>44475</v>
      </c>
      <c r="H1096" s="70">
        <v>0.012</v>
      </c>
      <c r="I1096" s="60">
        <v>0.2927</v>
      </c>
      <c r="J1096" s="113">
        <v>0</v>
      </c>
      <c r="K1096" s="113">
        <v>0.2927</v>
      </c>
      <c r="L1096" s="60">
        <f>+K1096-((K1096*0.3226*0.125)+(K1096*(1-0.3226)*0.26))</f>
        <v>0.22934537770000002</v>
      </c>
      <c r="M1096" s="60">
        <f t="shared" si="39"/>
        <v>0.22934537770000002</v>
      </c>
      <c r="N1096" s="67" t="s">
        <v>248</v>
      </c>
    </row>
    <row r="1097" spans="2:14" s="30" customFormat="1" ht="23.25" customHeight="1">
      <c r="B1097" s="12" t="s">
        <v>146</v>
      </c>
      <c r="C1097" s="64" t="s">
        <v>380</v>
      </c>
      <c r="D1097" s="12" t="s">
        <v>410</v>
      </c>
      <c r="E1097" s="65">
        <v>44469</v>
      </c>
      <c r="F1097" s="66">
        <v>44470</v>
      </c>
      <c r="G1097" s="66">
        <v>44475</v>
      </c>
      <c r="H1097" s="70">
        <v>0.03</v>
      </c>
      <c r="I1097" s="60">
        <v>0.0463</v>
      </c>
      <c r="J1097" s="113">
        <v>0</v>
      </c>
      <c r="K1097" s="113">
        <v>0.0463</v>
      </c>
      <c r="L1097" s="60">
        <f>+K1097-((K1097*0.0055*0.125)+(K1097*(1-0.0055)*0.26))</f>
        <v>0.034296377749999996</v>
      </c>
      <c r="M1097" s="60">
        <f t="shared" si="39"/>
        <v>0.034296377749999996</v>
      </c>
      <c r="N1097" s="67" t="s">
        <v>248</v>
      </c>
    </row>
    <row r="1098" spans="2:14" s="30" customFormat="1" ht="23.25" customHeight="1">
      <c r="B1098" s="12" t="s">
        <v>163</v>
      </c>
      <c r="C1098" s="69" t="s">
        <v>381</v>
      </c>
      <c r="D1098" s="12" t="s">
        <v>410</v>
      </c>
      <c r="E1098" s="65">
        <v>44469</v>
      </c>
      <c r="F1098" s="66">
        <v>44470</v>
      </c>
      <c r="G1098" s="66">
        <v>44475</v>
      </c>
      <c r="H1098" s="70">
        <v>0.03</v>
      </c>
      <c r="I1098" s="60">
        <v>0.0417</v>
      </c>
      <c r="J1098" s="113">
        <v>0</v>
      </c>
      <c r="K1098" s="113">
        <v>0.0417</v>
      </c>
      <c r="L1098" s="60">
        <f>+K1098-((K1098*0.0055*0.125)+(K1098*(1-0.0055)*0.26))</f>
        <v>0.03088896225</v>
      </c>
      <c r="M1098" s="60">
        <f t="shared" si="39"/>
        <v>0.03088896225</v>
      </c>
      <c r="N1098" s="67" t="s">
        <v>248</v>
      </c>
    </row>
    <row r="1099" spans="2:14" s="30" customFormat="1" ht="23.25" customHeight="1">
      <c r="B1099" s="12" t="s">
        <v>151</v>
      </c>
      <c r="C1099" s="64" t="s">
        <v>383</v>
      </c>
      <c r="D1099" s="12" t="s">
        <v>410</v>
      </c>
      <c r="E1099" s="65">
        <v>44469</v>
      </c>
      <c r="F1099" s="66">
        <v>44470</v>
      </c>
      <c r="G1099" s="66">
        <v>44475</v>
      </c>
      <c r="H1099" s="70">
        <v>0.025</v>
      </c>
      <c r="I1099" s="60">
        <v>0.0309</v>
      </c>
      <c r="J1099" s="113">
        <v>0</v>
      </c>
      <c r="K1099" s="113">
        <v>0.0309</v>
      </c>
      <c r="L1099" s="60">
        <f>+K1099-((K1099*0.0529*0.125)+(K1099*(1-0.0529)*0.26))</f>
        <v>0.02308667235</v>
      </c>
      <c r="M1099" s="60">
        <f t="shared" si="39"/>
        <v>0.02308667235</v>
      </c>
      <c r="N1099" s="67" t="s">
        <v>248</v>
      </c>
    </row>
    <row r="1100" spans="2:14" s="30" customFormat="1" ht="23.25" customHeight="1">
      <c r="B1100" s="12" t="s">
        <v>166</v>
      </c>
      <c r="C1100" s="69" t="s">
        <v>384</v>
      </c>
      <c r="D1100" s="12" t="s">
        <v>410</v>
      </c>
      <c r="E1100" s="65">
        <v>44469</v>
      </c>
      <c r="F1100" s="66">
        <v>44470</v>
      </c>
      <c r="G1100" s="66">
        <v>44475</v>
      </c>
      <c r="H1100" s="70">
        <v>0.025</v>
      </c>
      <c r="I1100" s="60">
        <v>0.0307</v>
      </c>
      <c r="J1100" s="113">
        <v>0</v>
      </c>
      <c r="K1100" s="113">
        <v>0.0307</v>
      </c>
      <c r="L1100" s="60">
        <f>+K1100-((K1100*0.0529*0.125)+(K1100*(1-0.0529)*0.26))</f>
        <v>0.02293724405</v>
      </c>
      <c r="M1100" s="60">
        <f t="shared" si="39"/>
        <v>0.02293724405</v>
      </c>
      <c r="N1100" s="67" t="s">
        <v>248</v>
      </c>
    </row>
    <row r="1101" spans="2:14" s="30" customFormat="1" ht="23.25" customHeight="1">
      <c r="B1101" s="12" t="s">
        <v>149</v>
      </c>
      <c r="C1101" s="64" t="s">
        <v>386</v>
      </c>
      <c r="D1101" s="12" t="s">
        <v>410</v>
      </c>
      <c r="E1101" s="65">
        <v>44469</v>
      </c>
      <c r="F1101" s="66">
        <v>44470</v>
      </c>
      <c r="G1101" s="66">
        <v>44475</v>
      </c>
      <c r="H1101" s="70">
        <v>0.035</v>
      </c>
      <c r="I1101" s="60">
        <v>0.0469</v>
      </c>
      <c r="J1101" s="113">
        <v>0</v>
      </c>
      <c r="K1101" s="113">
        <v>0.0469</v>
      </c>
      <c r="L1101" s="60">
        <f>+K1101-((K1101*0.066*0.125)+(K1101*(1-0.066)*0.26))</f>
        <v>0.035123879</v>
      </c>
      <c r="M1101" s="60">
        <f t="shared" si="39"/>
        <v>0.035123879</v>
      </c>
      <c r="N1101" s="67" t="s">
        <v>248</v>
      </c>
    </row>
    <row r="1102" spans="2:14" s="30" customFormat="1" ht="23.25" customHeight="1">
      <c r="B1102" s="12" t="s">
        <v>165</v>
      </c>
      <c r="C1102" s="69" t="s">
        <v>387</v>
      </c>
      <c r="D1102" s="12" t="s">
        <v>410</v>
      </c>
      <c r="E1102" s="65">
        <v>44469</v>
      </c>
      <c r="F1102" s="66">
        <v>44470</v>
      </c>
      <c r="G1102" s="66">
        <v>44475</v>
      </c>
      <c r="H1102" s="70">
        <v>0.035</v>
      </c>
      <c r="I1102" s="60">
        <v>0.0441</v>
      </c>
      <c r="J1102" s="113">
        <v>0</v>
      </c>
      <c r="K1102" s="113">
        <v>0.0441</v>
      </c>
      <c r="L1102" s="60">
        <f>+K1102-((K1102*0.066*0.125)+(K1102*(1-0.066)*0.26))</f>
        <v>0.033026930999999995</v>
      </c>
      <c r="M1102" s="60">
        <f t="shared" si="39"/>
        <v>0.033026930999999995</v>
      </c>
      <c r="N1102" s="67" t="s">
        <v>248</v>
      </c>
    </row>
    <row r="1103" spans="2:14" s="30" customFormat="1" ht="23.25" customHeight="1">
      <c r="B1103" s="12" t="s">
        <v>153</v>
      </c>
      <c r="C1103" s="64" t="s">
        <v>394</v>
      </c>
      <c r="D1103" s="12" t="s">
        <v>410</v>
      </c>
      <c r="E1103" s="65">
        <v>44469</v>
      </c>
      <c r="F1103" s="66">
        <v>44470</v>
      </c>
      <c r="G1103" s="66">
        <v>44475</v>
      </c>
      <c r="H1103" s="70">
        <v>0.014</v>
      </c>
      <c r="I1103" s="60">
        <v>0.0174</v>
      </c>
      <c r="J1103" s="113">
        <v>0</v>
      </c>
      <c r="K1103" s="113">
        <v>0.0174</v>
      </c>
      <c r="L1103" s="60">
        <f>+K1103-((K1103*0.1125*0.125)+(K1103*(1-0.1125)*0.26))</f>
        <v>0.0131402625</v>
      </c>
      <c r="M1103" s="60">
        <f t="shared" si="39"/>
        <v>0.0131402625</v>
      </c>
      <c r="N1103" s="67" t="s">
        <v>248</v>
      </c>
    </row>
    <row r="1104" spans="2:14" s="30" customFormat="1" ht="23.25" customHeight="1">
      <c r="B1104" s="12" t="s">
        <v>152</v>
      </c>
      <c r="C1104" s="64" t="s">
        <v>395</v>
      </c>
      <c r="D1104" s="12" t="s">
        <v>410</v>
      </c>
      <c r="E1104" s="65">
        <v>44469</v>
      </c>
      <c r="F1104" s="66">
        <v>44470</v>
      </c>
      <c r="G1104" s="66">
        <v>44475</v>
      </c>
      <c r="H1104" s="70">
        <v>0.014</v>
      </c>
      <c r="I1104" s="60">
        <v>0.0219</v>
      </c>
      <c r="J1104" s="113">
        <v>0</v>
      </c>
      <c r="K1104" s="113">
        <v>0.0219</v>
      </c>
      <c r="L1104" s="60">
        <f>+K1104-((K1104*0.1125*0.125)+(K1104*(1-0.1125)*0.26))</f>
        <v>0.01653860625</v>
      </c>
      <c r="M1104" s="60">
        <f t="shared" si="39"/>
        <v>0.01653860625</v>
      </c>
      <c r="N1104" s="67" t="s">
        <v>248</v>
      </c>
    </row>
    <row r="1105" spans="1:14" s="30" customFormat="1" ht="23.25" customHeight="1">
      <c r="A1105" s="94"/>
      <c r="B1105" s="12" t="s">
        <v>167</v>
      </c>
      <c r="C1105" s="69" t="s">
        <v>396</v>
      </c>
      <c r="D1105" s="12" t="s">
        <v>410</v>
      </c>
      <c r="E1105" s="65">
        <v>44469</v>
      </c>
      <c r="F1105" s="66">
        <v>44470</v>
      </c>
      <c r="G1105" s="66">
        <v>44475</v>
      </c>
      <c r="H1105" s="70">
        <v>0.014</v>
      </c>
      <c r="I1105" s="60">
        <v>0.021</v>
      </c>
      <c r="J1105" s="113">
        <v>0</v>
      </c>
      <c r="K1105" s="113">
        <v>0.021</v>
      </c>
      <c r="L1105" s="60">
        <f>+K1105-((K1105*0.1125*0.125)+(K1105*(1-0.1125)*0.26))</f>
        <v>0.015858937500000003</v>
      </c>
      <c r="M1105" s="60">
        <f t="shared" si="39"/>
        <v>0.015858937500000003</v>
      </c>
      <c r="N1105" s="67" t="s">
        <v>248</v>
      </c>
    </row>
    <row r="1106" spans="1:14" s="30" customFormat="1" ht="23.25" customHeight="1">
      <c r="A1106" s="94"/>
      <c r="B1106" s="12" t="s">
        <v>301</v>
      </c>
      <c r="C1106" s="64" t="s">
        <v>407</v>
      </c>
      <c r="D1106" s="12" t="s">
        <v>410</v>
      </c>
      <c r="E1106" s="65">
        <v>44469</v>
      </c>
      <c r="F1106" s="66">
        <v>44470</v>
      </c>
      <c r="G1106" s="66">
        <v>44475</v>
      </c>
      <c r="H1106" s="70">
        <v>0.014</v>
      </c>
      <c r="I1106" s="60">
        <v>0.0165</v>
      </c>
      <c r="J1106" s="113">
        <v>0</v>
      </c>
      <c r="K1106" s="113">
        <v>0.0165</v>
      </c>
      <c r="L1106" s="60">
        <f>+K1106-((K1106*0.1125*0.125)+(K1106*(1-0.1125)*0.26))</f>
        <v>0.01246059375</v>
      </c>
      <c r="M1106" s="60">
        <f t="shared" si="39"/>
        <v>0.01246059375</v>
      </c>
      <c r="N1106" s="67" t="s">
        <v>248</v>
      </c>
    </row>
    <row r="1107" spans="1:14" s="30" customFormat="1" ht="23.25" customHeight="1">
      <c r="A1107" s="94"/>
      <c r="B1107" s="12" t="s">
        <v>304</v>
      </c>
      <c r="C1107" s="64" t="s">
        <v>408</v>
      </c>
      <c r="D1107" s="12" t="s">
        <v>410</v>
      </c>
      <c r="E1107" s="65">
        <v>44469</v>
      </c>
      <c r="F1107" s="66">
        <v>44470</v>
      </c>
      <c r="G1107" s="66">
        <v>44475</v>
      </c>
      <c r="H1107" s="70">
        <v>0.01</v>
      </c>
      <c r="I1107" s="60">
        <v>0.0127</v>
      </c>
      <c r="J1107" s="113">
        <v>0</v>
      </c>
      <c r="K1107" s="113">
        <v>0.0127</v>
      </c>
      <c r="L1107" s="60">
        <f>+K1107-((K1107*0.148*0.125)+(K1107*(1-0.148)*0.26))</f>
        <v>0.009651746</v>
      </c>
      <c r="M1107" s="60">
        <f t="shared" si="39"/>
        <v>0.009651746</v>
      </c>
      <c r="N1107" s="67" t="s">
        <v>248</v>
      </c>
    </row>
    <row r="1108" spans="1:14" s="30" customFormat="1" ht="23.25" customHeight="1">
      <c r="A1108" s="94"/>
      <c r="B1108" s="12" t="s">
        <v>183</v>
      </c>
      <c r="C1108" s="69" t="s">
        <v>398</v>
      </c>
      <c r="D1108" s="12" t="s">
        <v>410</v>
      </c>
      <c r="E1108" s="65">
        <v>44469</v>
      </c>
      <c r="F1108" s="66">
        <v>44470</v>
      </c>
      <c r="G1108" s="66">
        <v>44475</v>
      </c>
      <c r="H1108" s="70">
        <v>0.01</v>
      </c>
      <c r="I1108" s="60">
        <v>0.0127</v>
      </c>
      <c r="J1108" s="113">
        <v>0</v>
      </c>
      <c r="K1108" s="113">
        <v>0.0127</v>
      </c>
      <c r="L1108" s="60">
        <f>+K1108-((K1108*0.148*0.125)+(K1108*(1-0.148)*0.26))</f>
        <v>0.009651746</v>
      </c>
      <c r="M1108" s="60">
        <f t="shared" si="39"/>
        <v>0.009651746</v>
      </c>
      <c r="N1108" s="67" t="s">
        <v>248</v>
      </c>
    </row>
    <row r="1109" spans="1:14" s="30" customFormat="1" ht="23.25" customHeight="1">
      <c r="A1109" s="94"/>
      <c r="B1109" s="12" t="s">
        <v>313</v>
      </c>
      <c r="C1109" s="64" t="s">
        <v>429</v>
      </c>
      <c r="D1109" s="12" t="s">
        <v>411</v>
      </c>
      <c r="E1109" s="65">
        <v>44469</v>
      </c>
      <c r="F1109" s="66">
        <v>44470</v>
      </c>
      <c r="G1109" s="66">
        <v>44475</v>
      </c>
      <c r="H1109" s="70">
        <v>0.01</v>
      </c>
      <c r="I1109" s="60">
        <v>0.0043</v>
      </c>
      <c r="J1109" s="113">
        <v>0</v>
      </c>
      <c r="K1109" s="113">
        <v>0.0043</v>
      </c>
      <c r="L1109" s="60">
        <f>+K1109-((K1109*0.148*0.125)+(K1109*(1-0.148)*0.26))</f>
        <v>0.0032679140000000002</v>
      </c>
      <c r="M1109" s="60">
        <f t="shared" si="39"/>
        <v>0.0032679140000000002</v>
      </c>
      <c r="N1109" s="67" t="s">
        <v>251</v>
      </c>
    </row>
    <row r="1110" spans="1:14" s="30" customFormat="1" ht="23.25" customHeight="1">
      <c r="A1110" s="94"/>
      <c r="B1110" s="12" t="s">
        <v>305</v>
      </c>
      <c r="C1110" s="64" t="s">
        <v>409</v>
      </c>
      <c r="D1110" s="12" t="s">
        <v>410</v>
      </c>
      <c r="E1110" s="65">
        <v>44469</v>
      </c>
      <c r="F1110" s="66">
        <v>44470</v>
      </c>
      <c r="G1110" s="66">
        <v>44475</v>
      </c>
      <c r="H1110" s="70">
        <v>0.01</v>
      </c>
      <c r="I1110" s="60">
        <v>0.0128</v>
      </c>
      <c r="J1110" s="113">
        <v>0</v>
      </c>
      <c r="K1110" s="113">
        <v>0.0128</v>
      </c>
      <c r="L1110" s="60">
        <f>+K1110-((K1110*0.148*0.125)+(K1110*(1-0.148)*0.26))</f>
        <v>0.009727744</v>
      </c>
      <c r="M1110" s="60">
        <f t="shared" si="39"/>
        <v>0.009727744</v>
      </c>
      <c r="N1110" s="67" t="s">
        <v>248</v>
      </c>
    </row>
    <row r="1111" spans="1:14" s="30" customFormat="1" ht="23.25" customHeight="1">
      <c r="A1111" s="94"/>
      <c r="B1111" s="12" t="s">
        <v>147</v>
      </c>
      <c r="C1111" s="64" t="s">
        <v>468</v>
      </c>
      <c r="D1111" s="12" t="s">
        <v>410</v>
      </c>
      <c r="E1111" s="65">
        <v>44469</v>
      </c>
      <c r="F1111" s="66">
        <v>44470</v>
      </c>
      <c r="G1111" s="66">
        <v>44475</v>
      </c>
      <c r="H1111" s="70">
        <v>0.03</v>
      </c>
      <c r="I1111" s="60">
        <v>0.0414</v>
      </c>
      <c r="J1111" s="113">
        <v>0</v>
      </c>
      <c r="K1111" s="113">
        <v>0.0414</v>
      </c>
      <c r="L1111" s="60">
        <f>+K1111-((K1111*0.1445*0.125)+(K1111*(1-0.1445)*0.26))</f>
        <v>0.0314436105</v>
      </c>
      <c r="M1111" s="60">
        <f t="shared" si="39"/>
        <v>0.0314436105</v>
      </c>
      <c r="N1111" s="67" t="s">
        <v>248</v>
      </c>
    </row>
    <row r="1112" spans="1:14" s="30" customFormat="1" ht="23.25" customHeight="1">
      <c r="A1112" s="94"/>
      <c r="B1112" s="12" t="s">
        <v>164</v>
      </c>
      <c r="C1112" s="69" t="s">
        <v>469</v>
      </c>
      <c r="D1112" s="12" t="s">
        <v>410</v>
      </c>
      <c r="E1112" s="65">
        <v>44469</v>
      </c>
      <c r="F1112" s="66">
        <v>44470</v>
      </c>
      <c r="G1112" s="66">
        <v>44475</v>
      </c>
      <c r="H1112" s="70">
        <v>0.03</v>
      </c>
      <c r="I1112" s="60">
        <v>0.0388</v>
      </c>
      <c r="J1112" s="113">
        <v>0</v>
      </c>
      <c r="K1112" s="113">
        <v>0.0388</v>
      </c>
      <c r="L1112" s="60">
        <f>+K1112-((K1112*0.1445*0.125)+(K1112*(1-0.1445)*0.26))</f>
        <v>0.029468890999999997</v>
      </c>
      <c r="M1112" s="60">
        <f t="shared" si="39"/>
        <v>0.029468890999999997</v>
      </c>
      <c r="N1112" s="67" t="s">
        <v>248</v>
      </c>
    </row>
    <row r="1113" spans="1:14" ht="23.25" customHeight="1">
      <c r="A1113" s="94"/>
      <c r="B1113" s="12" t="s">
        <v>132</v>
      </c>
      <c r="C1113" s="64" t="s">
        <v>358</v>
      </c>
      <c r="D1113" s="12" t="s">
        <v>410</v>
      </c>
      <c r="E1113" s="65">
        <v>44494</v>
      </c>
      <c r="F1113" s="66">
        <v>44495</v>
      </c>
      <c r="G1113" s="66">
        <v>44498</v>
      </c>
      <c r="H1113" s="70">
        <v>0.03</v>
      </c>
      <c r="I1113" s="60">
        <v>0.0365</v>
      </c>
      <c r="J1113" s="113">
        <v>0</v>
      </c>
      <c r="K1113" s="113">
        <f>VLOOKUP(B1113,'[2]Feuil2'!$A$2:$G$56,7,FALSE)</f>
        <v>0.0365</v>
      </c>
      <c r="L1113" s="60">
        <f>+K1113-((K1113*0.2888*0.125)+(K1113*(1-0.2888)*0.26))</f>
        <v>0.028433062</v>
      </c>
      <c r="M1113" s="60">
        <f aca="true" t="shared" si="40" ref="M1113:M1118">J1113+L1113</f>
        <v>0.028433062</v>
      </c>
      <c r="N1113" s="67" t="s">
        <v>249</v>
      </c>
    </row>
    <row r="1114" spans="1:14" ht="23.25" customHeight="1">
      <c r="A1114" s="94"/>
      <c r="B1114" s="73" t="s">
        <v>227</v>
      </c>
      <c r="C1114" s="74" t="s">
        <v>359</v>
      </c>
      <c r="D1114" s="12" t="s">
        <v>410</v>
      </c>
      <c r="E1114" s="107">
        <v>44494</v>
      </c>
      <c r="F1114" s="107">
        <v>44495</v>
      </c>
      <c r="G1114" s="107">
        <v>44498</v>
      </c>
      <c r="H1114" s="70">
        <v>0.03</v>
      </c>
      <c r="I1114" s="60">
        <v>0.0362</v>
      </c>
      <c r="J1114" s="113">
        <v>0</v>
      </c>
      <c r="K1114" s="113">
        <f>VLOOKUP(B1114,'[2]Feuil2'!$A$2:$G$56,7,FALSE)</f>
        <v>0.0362</v>
      </c>
      <c r="L1114" s="60">
        <f>+K1114-((K1114*0.2888*0.125)+(K1114*(1-0.2888)*0.26))</f>
        <v>0.0281993656</v>
      </c>
      <c r="M1114" s="60">
        <f t="shared" si="40"/>
        <v>0.0281993656</v>
      </c>
      <c r="N1114" s="73" t="s">
        <v>249</v>
      </c>
    </row>
    <row r="1115" spans="1:14" ht="23.25" customHeight="1">
      <c r="A1115" s="94"/>
      <c r="B1115" s="12" t="s">
        <v>133</v>
      </c>
      <c r="C1115" s="64" t="s">
        <v>476</v>
      </c>
      <c r="D1115" s="12" t="s">
        <v>410</v>
      </c>
      <c r="E1115" s="65">
        <v>44494</v>
      </c>
      <c r="F1115" s="66">
        <v>44495</v>
      </c>
      <c r="G1115" s="66">
        <v>44498</v>
      </c>
      <c r="H1115" s="70">
        <v>0.035</v>
      </c>
      <c r="I1115" s="60">
        <v>0.0352</v>
      </c>
      <c r="J1115" s="113">
        <v>0</v>
      </c>
      <c r="K1115" s="113">
        <f>VLOOKUP(B1115,'[2]Feuil2'!$A$2:$G$56,7,FALSE)</f>
        <v>0.0352</v>
      </c>
      <c r="L1115" s="60">
        <f>+K1115-((K1115*0.0032*0.125)+(K1115*(1-0.0032)*0.26))</f>
        <v>0.0260632064</v>
      </c>
      <c r="M1115" s="60">
        <f t="shared" si="40"/>
        <v>0.0260632064</v>
      </c>
      <c r="N1115" s="67" t="s">
        <v>249</v>
      </c>
    </row>
    <row r="1116" spans="1:14" ht="23.25" customHeight="1">
      <c r="A1116" s="94"/>
      <c r="B1116" s="12" t="s">
        <v>134</v>
      </c>
      <c r="C1116" s="64" t="s">
        <v>374</v>
      </c>
      <c r="D1116" s="12" t="s">
        <v>410</v>
      </c>
      <c r="E1116" s="65">
        <v>44494</v>
      </c>
      <c r="F1116" s="66">
        <v>44495</v>
      </c>
      <c r="G1116" s="66">
        <v>44498</v>
      </c>
      <c r="H1116" s="70">
        <v>0.04</v>
      </c>
      <c r="I1116" s="60">
        <v>0.0483</v>
      </c>
      <c r="J1116" s="113">
        <v>0</v>
      </c>
      <c r="K1116" s="113">
        <f>VLOOKUP(B1116,'[2]Feuil2'!$A$2:$G$56,7,FALSE)</f>
        <v>0.0483</v>
      </c>
      <c r="L1116" s="60">
        <f>+K1116-((K1116*0.2441*0.125)+(K1116*(1-0.2441)*0.26))</f>
        <v>0.03733365405</v>
      </c>
      <c r="M1116" s="60">
        <f t="shared" si="40"/>
        <v>0.03733365405</v>
      </c>
      <c r="N1116" s="67" t="s">
        <v>249</v>
      </c>
    </row>
    <row r="1117" spans="1:14" ht="23.25" customHeight="1">
      <c r="A1117" s="94"/>
      <c r="B1117" s="73" t="s">
        <v>168</v>
      </c>
      <c r="C1117" s="74" t="s">
        <v>376</v>
      </c>
      <c r="D1117" s="12" t="s">
        <v>410</v>
      </c>
      <c r="E1117" s="107">
        <v>44494</v>
      </c>
      <c r="F1117" s="107">
        <v>44495</v>
      </c>
      <c r="G1117" s="107">
        <v>44498</v>
      </c>
      <c r="H1117" s="70">
        <v>0.04</v>
      </c>
      <c r="I1117" s="60">
        <v>0.0448</v>
      </c>
      <c r="J1117" s="113">
        <v>0</v>
      </c>
      <c r="K1117" s="113">
        <f>VLOOKUP(B1117,'[2]Feuil2'!$A$2:$G$56,7,FALSE)</f>
        <v>0.0448</v>
      </c>
      <c r="L1117" s="60">
        <f>+K1117-((K1117*0.2441*0.125)+(K1117*(1-0.2441)*0.26))</f>
        <v>0.034628316799999996</v>
      </c>
      <c r="M1117" s="60">
        <f t="shared" si="40"/>
        <v>0.034628316799999996</v>
      </c>
      <c r="N1117" s="73" t="s">
        <v>249</v>
      </c>
    </row>
    <row r="1118" spans="1:14" ht="23.25" customHeight="1">
      <c r="A1118" s="94"/>
      <c r="B1118" s="12" t="s">
        <v>136</v>
      </c>
      <c r="C1118" s="64" t="s">
        <v>388</v>
      </c>
      <c r="D1118" s="12" t="s">
        <v>410</v>
      </c>
      <c r="E1118" s="65">
        <v>44494</v>
      </c>
      <c r="F1118" s="66">
        <v>44495</v>
      </c>
      <c r="G1118" s="66">
        <v>44498</v>
      </c>
      <c r="H1118" s="70">
        <v>0.03</v>
      </c>
      <c r="I1118" s="60">
        <v>0.0361</v>
      </c>
      <c r="J1118" s="113">
        <v>0</v>
      </c>
      <c r="K1118" s="113">
        <f>VLOOKUP(B1118,'[2]Feuil2'!$A$2:$G$56,7,FALSE)</f>
        <v>0.0361</v>
      </c>
      <c r="L1118" s="60">
        <f aca="true" t="shared" si="41" ref="L1118:L1123">+K1118-((K1118*0.062*0.125)+(K1118*(1-0.062)*0.26))</f>
        <v>0.027016157</v>
      </c>
      <c r="M1118" s="60">
        <f t="shared" si="40"/>
        <v>0.027016157</v>
      </c>
      <c r="N1118" s="67" t="s">
        <v>249</v>
      </c>
    </row>
    <row r="1119" spans="1:14" ht="23.25" customHeight="1">
      <c r="A1119" s="94"/>
      <c r="B1119" s="12" t="s">
        <v>137</v>
      </c>
      <c r="C1119" s="64" t="s">
        <v>389</v>
      </c>
      <c r="D1119" s="12" t="s">
        <v>410</v>
      </c>
      <c r="E1119" s="65">
        <v>44494</v>
      </c>
      <c r="F1119" s="65">
        <v>44495</v>
      </c>
      <c r="G1119" s="65">
        <v>44498</v>
      </c>
      <c r="H1119" s="70">
        <v>0.0375</v>
      </c>
      <c r="I1119" s="60">
        <v>0.0456</v>
      </c>
      <c r="J1119" s="113">
        <v>0</v>
      </c>
      <c r="K1119" s="113">
        <f>VLOOKUP(B1119,'[2]Feuil2'!$A$2:$G$56,7,FALSE)</f>
        <v>0.0456</v>
      </c>
      <c r="L1119" s="60">
        <f t="shared" si="41"/>
        <v>0.034125672</v>
      </c>
      <c r="M1119" s="60">
        <v>0</v>
      </c>
      <c r="N1119" s="67" t="s">
        <v>249</v>
      </c>
    </row>
    <row r="1120" spans="1:14" ht="23.25" customHeight="1">
      <c r="A1120" s="94"/>
      <c r="B1120" s="12" t="s">
        <v>135</v>
      </c>
      <c r="C1120" s="64" t="s">
        <v>390</v>
      </c>
      <c r="D1120" s="12" t="s">
        <v>410</v>
      </c>
      <c r="E1120" s="65">
        <v>44494</v>
      </c>
      <c r="F1120" s="66">
        <v>44495</v>
      </c>
      <c r="G1120" s="66">
        <v>44498</v>
      </c>
      <c r="H1120" s="70">
        <v>0.045</v>
      </c>
      <c r="I1120" s="60">
        <v>0.052</v>
      </c>
      <c r="J1120" s="113">
        <v>0</v>
      </c>
      <c r="K1120" s="113">
        <f>VLOOKUP(B1120,'[2]Feuil2'!$A$2:$G$56,7,FALSE)</f>
        <v>0.052</v>
      </c>
      <c r="L1120" s="60">
        <f t="shared" si="41"/>
        <v>0.03891524</v>
      </c>
      <c r="M1120" s="60">
        <f aca="true" t="shared" si="42" ref="M1120:M1151">J1120+L1120</f>
        <v>0.03891524</v>
      </c>
      <c r="N1120" s="67" t="s">
        <v>249</v>
      </c>
    </row>
    <row r="1121" spans="1:14" ht="23.25" customHeight="1">
      <c r="A1121" s="94"/>
      <c r="B1121" s="73" t="s">
        <v>170</v>
      </c>
      <c r="C1121" s="74" t="s">
        <v>391</v>
      </c>
      <c r="D1121" s="12" t="s">
        <v>410</v>
      </c>
      <c r="E1121" s="107">
        <v>44494</v>
      </c>
      <c r="F1121" s="107">
        <v>44495</v>
      </c>
      <c r="G1121" s="107">
        <v>44498</v>
      </c>
      <c r="H1121" s="70">
        <v>0.03</v>
      </c>
      <c r="I1121" s="60">
        <v>0.0358</v>
      </c>
      <c r="J1121" s="113">
        <v>0</v>
      </c>
      <c r="K1121" s="113">
        <f>VLOOKUP(B1121,'[2]Feuil2'!$A$2:$G$56,7,FALSE)</f>
        <v>0.0358</v>
      </c>
      <c r="L1121" s="60">
        <f t="shared" si="41"/>
        <v>0.026791646</v>
      </c>
      <c r="M1121" s="60">
        <f t="shared" si="42"/>
        <v>0.026791646</v>
      </c>
      <c r="N1121" s="73" t="s">
        <v>249</v>
      </c>
    </row>
    <row r="1122" spans="1:14" ht="23.25" customHeight="1">
      <c r="A1122" s="94"/>
      <c r="B1122" s="73" t="s">
        <v>171</v>
      </c>
      <c r="C1122" s="74" t="s">
        <v>392</v>
      </c>
      <c r="D1122" s="12" t="s">
        <v>410</v>
      </c>
      <c r="E1122" s="107">
        <v>44494</v>
      </c>
      <c r="F1122" s="107">
        <v>44495</v>
      </c>
      <c r="G1122" s="107">
        <v>44498</v>
      </c>
      <c r="H1122" s="70">
        <v>0.0375</v>
      </c>
      <c r="I1122" s="60">
        <v>0.0451</v>
      </c>
      <c r="J1122" s="113">
        <v>0</v>
      </c>
      <c r="K1122" s="113">
        <f>VLOOKUP(B1122,'[2]Feuil2'!$A$2:$G$56,7,FALSE)</f>
        <v>0.0451</v>
      </c>
      <c r="L1122" s="60">
        <f t="shared" si="41"/>
        <v>0.033751487000000004</v>
      </c>
      <c r="M1122" s="60">
        <f t="shared" si="42"/>
        <v>0.033751487000000004</v>
      </c>
      <c r="N1122" s="73" t="s">
        <v>249</v>
      </c>
    </row>
    <row r="1123" spans="1:14" ht="23.25" customHeight="1">
      <c r="A1123" s="94"/>
      <c r="B1123" s="73" t="s">
        <v>172</v>
      </c>
      <c r="C1123" s="74" t="s">
        <v>393</v>
      </c>
      <c r="D1123" s="12" t="s">
        <v>410</v>
      </c>
      <c r="E1123" s="107">
        <v>44494</v>
      </c>
      <c r="F1123" s="107">
        <v>44495</v>
      </c>
      <c r="G1123" s="107">
        <v>44498</v>
      </c>
      <c r="H1123" s="70">
        <v>0.045</v>
      </c>
      <c r="I1123" s="60">
        <v>0.0514</v>
      </c>
      <c r="J1123" s="113">
        <v>0</v>
      </c>
      <c r="K1123" s="113">
        <f>VLOOKUP(B1123,'[2]Feuil2'!$A$2:$G$56,7,FALSE)</f>
        <v>0.0514</v>
      </c>
      <c r="L1123" s="60">
        <f t="shared" si="41"/>
        <v>0.038466218</v>
      </c>
      <c r="M1123" s="60">
        <f t="shared" si="42"/>
        <v>0.038466218</v>
      </c>
      <c r="N1123" s="73" t="s">
        <v>249</v>
      </c>
    </row>
    <row r="1124" spans="1:14" ht="23.25" customHeight="1">
      <c r="A1124" s="94"/>
      <c r="B1124" s="73" t="s">
        <v>169</v>
      </c>
      <c r="C1124" s="74" t="s">
        <v>400</v>
      </c>
      <c r="D1124" s="12" t="s">
        <v>410</v>
      </c>
      <c r="E1124" s="107">
        <v>44494</v>
      </c>
      <c r="F1124" s="107">
        <v>44495</v>
      </c>
      <c r="G1124" s="107">
        <v>44498</v>
      </c>
      <c r="H1124" s="70">
        <v>0.055</v>
      </c>
      <c r="I1124" s="60">
        <v>0.0589</v>
      </c>
      <c r="J1124" s="113">
        <v>0</v>
      </c>
      <c r="K1124" s="113">
        <f>VLOOKUP(B1124,'[2]Feuil2'!$A$2:$G$56,7,FALSE)</f>
        <v>0.0589</v>
      </c>
      <c r="L1124" s="60">
        <f>+K1124-((K1124*0.1276*0.125)+(K1124*(1-0.1276)*0.26))</f>
        <v>0.0446006114</v>
      </c>
      <c r="M1124" s="60">
        <f t="shared" si="42"/>
        <v>0.0446006114</v>
      </c>
      <c r="N1124" s="73" t="s">
        <v>249</v>
      </c>
    </row>
    <row r="1125" spans="1:14" ht="23.25" customHeight="1">
      <c r="A1125" s="94"/>
      <c r="B1125" s="73" t="s">
        <v>334</v>
      </c>
      <c r="C1125" s="74" t="s">
        <v>401</v>
      </c>
      <c r="D1125" s="12" t="s">
        <v>412</v>
      </c>
      <c r="E1125" s="107">
        <v>44494</v>
      </c>
      <c r="F1125" s="107">
        <v>44495</v>
      </c>
      <c r="G1125" s="107">
        <v>44498</v>
      </c>
      <c r="H1125" s="70">
        <v>0.02</v>
      </c>
      <c r="I1125" s="60">
        <v>0.02</v>
      </c>
      <c r="J1125" s="113">
        <v>0</v>
      </c>
      <c r="K1125" s="113">
        <v>0.02</v>
      </c>
      <c r="L1125" s="60">
        <f>+K1125-((K1125*0.0838*0.125)+(K1125*(1-0.0838)*0.26))</f>
        <v>0.01502626</v>
      </c>
      <c r="M1125" s="60">
        <f t="shared" si="42"/>
        <v>0.01502626</v>
      </c>
      <c r="N1125" s="73" t="s">
        <v>288</v>
      </c>
    </row>
    <row r="1126" spans="1:14" ht="23.25" customHeight="1">
      <c r="A1126" s="94"/>
      <c r="B1126" s="73" t="s">
        <v>333</v>
      </c>
      <c r="C1126" s="74" t="s">
        <v>402</v>
      </c>
      <c r="D1126" s="12" t="s">
        <v>412</v>
      </c>
      <c r="E1126" s="107">
        <v>44494</v>
      </c>
      <c r="F1126" s="107">
        <v>44495</v>
      </c>
      <c r="G1126" s="107">
        <v>44498</v>
      </c>
      <c r="H1126" s="70">
        <v>0.02</v>
      </c>
      <c r="I1126" s="60">
        <v>0.02</v>
      </c>
      <c r="J1126" s="113">
        <v>0</v>
      </c>
      <c r="K1126" s="113">
        <v>0.02</v>
      </c>
      <c r="L1126" s="60">
        <f>+K1126-((K1126*0.0838*0.125)+(K1126*(1-0.0838)*0.26))</f>
        <v>0.01502626</v>
      </c>
      <c r="M1126" s="60">
        <f t="shared" si="42"/>
        <v>0.01502626</v>
      </c>
      <c r="N1126" s="73" t="s">
        <v>288</v>
      </c>
    </row>
    <row r="1127" spans="1:252" ht="23.25" customHeight="1">
      <c r="A1127" s="94"/>
      <c r="B1127" s="12" t="s">
        <v>310</v>
      </c>
      <c r="C1127" s="64" t="s">
        <v>424</v>
      </c>
      <c r="D1127" s="12" t="s">
        <v>411</v>
      </c>
      <c r="E1127" s="65">
        <v>44498</v>
      </c>
      <c r="F1127" s="66">
        <v>44502</v>
      </c>
      <c r="G1127" s="66">
        <v>44508</v>
      </c>
      <c r="H1127" s="70">
        <v>0.05</v>
      </c>
      <c r="I1127" s="113">
        <v>0.0205</v>
      </c>
      <c r="J1127" s="113">
        <v>0</v>
      </c>
      <c r="K1127" s="113">
        <v>0.0205</v>
      </c>
      <c r="L1127" s="60">
        <f>+K1127-((K1127*0.0367*0.125)+(K1127*(1-0.0367)*0.26))</f>
        <v>0.01527156725</v>
      </c>
      <c r="M1127" s="60">
        <f t="shared" si="42"/>
        <v>0.01527156725</v>
      </c>
      <c r="N1127" s="67" t="s">
        <v>251</v>
      </c>
      <c r="IR1127" s="10"/>
    </row>
    <row r="1128" spans="1:252" ht="23.25" customHeight="1">
      <c r="A1128" s="94"/>
      <c r="B1128" s="12" t="s">
        <v>188</v>
      </c>
      <c r="C1128" s="69" t="s">
        <v>339</v>
      </c>
      <c r="D1128" s="12" t="s">
        <v>411</v>
      </c>
      <c r="E1128" s="65">
        <v>44498</v>
      </c>
      <c r="F1128" s="66">
        <v>44502</v>
      </c>
      <c r="G1128" s="66">
        <v>44508</v>
      </c>
      <c r="H1128" s="70">
        <v>0.05</v>
      </c>
      <c r="I1128" s="113">
        <v>0.3588</v>
      </c>
      <c r="J1128" s="113">
        <v>0</v>
      </c>
      <c r="K1128" s="113">
        <v>0.3588</v>
      </c>
      <c r="L1128" s="60">
        <f>+K1128-((K1128*0.0367*0.125)+(K1128*(1-0.0367)*0.26))</f>
        <v>0.26728967459999997</v>
      </c>
      <c r="M1128" s="60">
        <f t="shared" si="42"/>
        <v>0.26728967459999997</v>
      </c>
      <c r="N1128" s="67" t="s">
        <v>251</v>
      </c>
      <c r="IR1128" s="10"/>
    </row>
    <row r="1129" spans="1:252" ht="23.25" customHeight="1">
      <c r="A1129" s="94"/>
      <c r="B1129" s="12" t="s">
        <v>196</v>
      </c>
      <c r="C1129" s="74" t="s">
        <v>340</v>
      </c>
      <c r="D1129" s="73" t="s">
        <v>411</v>
      </c>
      <c r="E1129" s="65">
        <v>44498</v>
      </c>
      <c r="F1129" s="66">
        <v>44502</v>
      </c>
      <c r="G1129" s="66">
        <v>44508</v>
      </c>
      <c r="H1129" s="70">
        <v>0.05</v>
      </c>
      <c r="I1129" s="113">
        <v>0.3726</v>
      </c>
      <c r="J1129" s="113">
        <v>0</v>
      </c>
      <c r="K1129" s="113">
        <v>0.3726</v>
      </c>
      <c r="L1129" s="60">
        <f>+K1129-((K1129*0.0367*0.125)+(K1129*(1-0.0367)*0.26))</f>
        <v>0.27757004669999996</v>
      </c>
      <c r="M1129" s="60">
        <f t="shared" si="42"/>
        <v>0.27757004669999996</v>
      </c>
      <c r="N1129" s="67" t="s">
        <v>251</v>
      </c>
      <c r="IR1129" s="10"/>
    </row>
    <row r="1130" spans="1:252" ht="23.25" customHeight="1">
      <c r="A1130" s="94"/>
      <c r="B1130" s="12" t="s">
        <v>191</v>
      </c>
      <c r="C1130" s="69" t="s">
        <v>346</v>
      </c>
      <c r="D1130" s="12" t="s">
        <v>411</v>
      </c>
      <c r="E1130" s="65">
        <v>44498</v>
      </c>
      <c r="F1130" s="66">
        <v>44502</v>
      </c>
      <c r="G1130" s="66">
        <v>44508</v>
      </c>
      <c r="H1130" s="67">
        <v>0.035</v>
      </c>
      <c r="I1130" s="113">
        <v>0.0141</v>
      </c>
      <c r="J1130" s="113">
        <v>0</v>
      </c>
      <c r="K1130" s="113">
        <v>0.0141</v>
      </c>
      <c r="L1130" s="60">
        <f>+K1130-((K1130*0.7506*0.125)+(K1130*(1-0.7506)*0.26))</f>
        <v>0.0118627671</v>
      </c>
      <c r="M1130" s="60">
        <f t="shared" si="42"/>
        <v>0.0118627671</v>
      </c>
      <c r="N1130" s="67" t="s">
        <v>251</v>
      </c>
      <c r="IR1130" s="10"/>
    </row>
    <row r="1131" spans="1:252" ht="23.25" customHeight="1">
      <c r="A1131" s="94"/>
      <c r="B1131" s="12" t="s">
        <v>199</v>
      </c>
      <c r="C1131" s="74" t="s">
        <v>347</v>
      </c>
      <c r="D1131" s="73" t="s">
        <v>411</v>
      </c>
      <c r="E1131" s="65">
        <v>44498</v>
      </c>
      <c r="F1131" s="66">
        <v>44502</v>
      </c>
      <c r="G1131" s="66">
        <v>44508</v>
      </c>
      <c r="H1131" s="67">
        <v>0.035</v>
      </c>
      <c r="I1131" s="113">
        <v>0.014</v>
      </c>
      <c r="J1131" s="113">
        <v>0</v>
      </c>
      <c r="K1131" s="113">
        <v>0.014</v>
      </c>
      <c r="L1131" s="60">
        <f>+K1131-((K1131*0.7506*0.125)+(K1131*(1-0.7506)*0.26))</f>
        <v>0.011778634</v>
      </c>
      <c r="M1131" s="60">
        <f t="shared" si="42"/>
        <v>0.011778634</v>
      </c>
      <c r="N1131" s="67" t="s">
        <v>251</v>
      </c>
      <c r="IR1131" s="10"/>
    </row>
    <row r="1132" spans="1:252" ht="23.25" customHeight="1">
      <c r="A1132" s="94"/>
      <c r="B1132" s="12" t="s">
        <v>306</v>
      </c>
      <c r="C1132" s="64" t="s">
        <v>430</v>
      </c>
      <c r="D1132" s="12" t="s">
        <v>411</v>
      </c>
      <c r="E1132" s="65">
        <v>44498</v>
      </c>
      <c r="F1132" s="66">
        <v>44502</v>
      </c>
      <c r="G1132" s="66">
        <v>44508</v>
      </c>
      <c r="H1132" s="70">
        <v>0.025</v>
      </c>
      <c r="I1132" s="113">
        <v>0.0103</v>
      </c>
      <c r="J1132" s="113">
        <v>0</v>
      </c>
      <c r="K1132" s="113">
        <v>0.0103</v>
      </c>
      <c r="L1132" s="60">
        <f>+K1132-((K1132*0.0002*0.125)+(K1132*(1-0.0002)*0.26))</f>
        <v>0.007622278099999999</v>
      </c>
      <c r="M1132" s="60">
        <f t="shared" si="42"/>
        <v>0.007622278099999999</v>
      </c>
      <c r="N1132" s="67" t="s">
        <v>251</v>
      </c>
      <c r="IR1132" s="10"/>
    </row>
    <row r="1133" spans="1:252" ht="23.25" customHeight="1">
      <c r="A1133" s="94"/>
      <c r="B1133" s="12" t="s">
        <v>184</v>
      </c>
      <c r="C1133" s="69" t="s">
        <v>354</v>
      </c>
      <c r="D1133" s="12" t="s">
        <v>411</v>
      </c>
      <c r="E1133" s="65">
        <v>44498</v>
      </c>
      <c r="F1133" s="66">
        <v>44502</v>
      </c>
      <c r="G1133" s="66">
        <v>44508</v>
      </c>
      <c r="H1133" s="70">
        <v>0.025</v>
      </c>
      <c r="I1133" s="113">
        <v>0.2075</v>
      </c>
      <c r="J1133" s="113">
        <v>0</v>
      </c>
      <c r="K1133" s="113">
        <v>0.2075</v>
      </c>
      <c r="L1133" s="60">
        <f>+K1133-((K1133*0.0002*0.125)+(K1133*(1-0.0002)*0.26))</f>
        <v>0.1535556025</v>
      </c>
      <c r="M1133" s="60">
        <f t="shared" si="42"/>
        <v>0.1535556025</v>
      </c>
      <c r="N1133" s="67" t="s">
        <v>251</v>
      </c>
      <c r="IR1133" s="10"/>
    </row>
    <row r="1134" spans="1:252" ht="23.25" customHeight="1">
      <c r="A1134" s="94"/>
      <c r="B1134" s="12" t="s">
        <v>192</v>
      </c>
      <c r="C1134" s="74" t="s">
        <v>355</v>
      </c>
      <c r="D1134" s="73" t="s">
        <v>411</v>
      </c>
      <c r="E1134" s="65">
        <v>44498</v>
      </c>
      <c r="F1134" s="66">
        <v>44502</v>
      </c>
      <c r="G1134" s="66">
        <v>44508</v>
      </c>
      <c r="H1134" s="70">
        <v>0.025</v>
      </c>
      <c r="I1134" s="113">
        <v>0.2096</v>
      </c>
      <c r="J1134" s="113">
        <v>0</v>
      </c>
      <c r="K1134" s="113">
        <v>0.2096</v>
      </c>
      <c r="L1134" s="60">
        <f>+K1134-((K1134*0.0002*0.125)+(K1134*(1-0.0002)*0.26))</f>
        <v>0.1551096592</v>
      </c>
      <c r="M1134" s="60">
        <f t="shared" si="42"/>
        <v>0.1551096592</v>
      </c>
      <c r="N1134" s="67" t="s">
        <v>251</v>
      </c>
      <c r="IR1134" s="10"/>
    </row>
    <row r="1135" spans="1:252" ht="23.25" customHeight="1">
      <c r="A1135" s="94"/>
      <c r="B1135" s="12" t="s">
        <v>311</v>
      </c>
      <c r="C1135" s="64" t="s">
        <v>425</v>
      </c>
      <c r="D1135" s="12" t="s">
        <v>411</v>
      </c>
      <c r="E1135" s="65">
        <v>44498</v>
      </c>
      <c r="F1135" s="66">
        <v>44502</v>
      </c>
      <c r="G1135" s="66">
        <v>44508</v>
      </c>
      <c r="H1135" s="70">
        <v>0.015</v>
      </c>
      <c r="I1135" s="113">
        <v>0.0061</v>
      </c>
      <c r="J1135" s="113">
        <v>0</v>
      </c>
      <c r="K1135" s="113">
        <v>0.0061</v>
      </c>
      <c r="L1135" s="60">
        <f>+K1135-((K1135*0.0000001*0.125)+(K1135*(1-0.0000001)*0.26))</f>
        <v>0.00451400008235</v>
      </c>
      <c r="M1135" s="60">
        <f t="shared" si="42"/>
        <v>0.00451400008235</v>
      </c>
      <c r="N1135" s="67" t="s">
        <v>251</v>
      </c>
      <c r="IR1135" s="10"/>
    </row>
    <row r="1136" spans="1:252" ht="23.25" customHeight="1">
      <c r="A1136" s="94"/>
      <c r="B1136" s="12" t="s">
        <v>189</v>
      </c>
      <c r="C1136" s="69" t="s">
        <v>356</v>
      </c>
      <c r="D1136" s="12" t="s">
        <v>411</v>
      </c>
      <c r="E1136" s="65">
        <v>44498</v>
      </c>
      <c r="F1136" s="66">
        <v>44502</v>
      </c>
      <c r="G1136" s="66">
        <v>44508</v>
      </c>
      <c r="H1136" s="70">
        <v>0.015</v>
      </c>
      <c r="I1136" s="113">
        <v>0.1124</v>
      </c>
      <c r="J1136" s="113">
        <v>0</v>
      </c>
      <c r="K1136" s="113">
        <v>0.1124</v>
      </c>
      <c r="L1136" s="60">
        <f>+K1136-((K1136*0.0000001*0.125)+(K1136*(1-0.0000001)*0.26))</f>
        <v>0.0831760015174</v>
      </c>
      <c r="M1136" s="60">
        <f t="shared" si="42"/>
        <v>0.0831760015174</v>
      </c>
      <c r="N1136" s="67" t="s">
        <v>251</v>
      </c>
      <c r="IR1136" s="10"/>
    </row>
    <row r="1137" spans="1:252" ht="23.25" customHeight="1">
      <c r="A1137" s="94"/>
      <c r="B1137" s="12" t="s">
        <v>197</v>
      </c>
      <c r="C1137" s="74" t="s">
        <v>357</v>
      </c>
      <c r="D1137" s="73" t="s">
        <v>411</v>
      </c>
      <c r="E1137" s="65">
        <v>44498</v>
      </c>
      <c r="F1137" s="66">
        <v>44502</v>
      </c>
      <c r="G1137" s="66">
        <v>44508</v>
      </c>
      <c r="H1137" s="70">
        <v>0.015</v>
      </c>
      <c r="I1137" s="113">
        <v>0.1145</v>
      </c>
      <c r="J1137" s="113">
        <v>0</v>
      </c>
      <c r="K1137" s="113">
        <v>0.1145</v>
      </c>
      <c r="L1137" s="60">
        <f>+K1137-((K1137*0.0000001*0.125)+(K1137*(1-0.0000001)*0.26))</f>
        <v>0.08473000154575</v>
      </c>
      <c r="M1137" s="60">
        <f t="shared" si="42"/>
        <v>0.08473000154575</v>
      </c>
      <c r="N1137" s="67" t="s">
        <v>251</v>
      </c>
      <c r="IR1137" s="10"/>
    </row>
    <row r="1138" spans="1:252" ht="23.25" customHeight="1">
      <c r="A1138" s="94"/>
      <c r="B1138" s="12" t="s">
        <v>308</v>
      </c>
      <c r="C1138" s="64" t="s">
        <v>426</v>
      </c>
      <c r="D1138" s="12" t="s">
        <v>411</v>
      </c>
      <c r="E1138" s="65">
        <v>44498</v>
      </c>
      <c r="F1138" s="66">
        <v>44502</v>
      </c>
      <c r="G1138" s="66">
        <v>44508</v>
      </c>
      <c r="H1138" s="70">
        <v>0.015</v>
      </c>
      <c r="I1138" s="113">
        <v>0.0062</v>
      </c>
      <c r="J1138" s="113">
        <v>0</v>
      </c>
      <c r="K1138" s="113">
        <v>0.0062</v>
      </c>
      <c r="L1138" s="60">
        <f>+K1138-((K1138*0.4234*0.125)+(K1138*(1-0.4234)*0.26))</f>
        <v>0.0049423858</v>
      </c>
      <c r="M1138" s="60">
        <f t="shared" si="42"/>
        <v>0.0049423858</v>
      </c>
      <c r="N1138" s="67" t="s">
        <v>251</v>
      </c>
      <c r="IR1138" s="10"/>
    </row>
    <row r="1139" spans="1:252" ht="23.25" customHeight="1">
      <c r="A1139" s="94"/>
      <c r="B1139" s="12" t="s">
        <v>186</v>
      </c>
      <c r="C1139" s="69" t="s">
        <v>363</v>
      </c>
      <c r="D1139" s="12" t="s">
        <v>411</v>
      </c>
      <c r="E1139" s="65">
        <v>44498</v>
      </c>
      <c r="F1139" s="66">
        <v>44502</v>
      </c>
      <c r="G1139" s="66">
        <v>44508</v>
      </c>
      <c r="H1139" s="70">
        <v>0.015</v>
      </c>
      <c r="I1139" s="113">
        <v>0.1137</v>
      </c>
      <c r="J1139" s="113">
        <v>0</v>
      </c>
      <c r="K1139" s="113">
        <v>0.1137</v>
      </c>
      <c r="L1139" s="60">
        <f>+K1139-((K1139*0.4234*0.125)+(K1139*(1-0.4234)*0.26))</f>
        <v>0.0906369783</v>
      </c>
      <c r="M1139" s="60">
        <f t="shared" si="42"/>
        <v>0.0906369783</v>
      </c>
      <c r="N1139" s="67" t="s">
        <v>251</v>
      </c>
      <c r="IR1139" s="10"/>
    </row>
    <row r="1140" spans="1:252" ht="23.25" customHeight="1">
      <c r="A1140" s="94"/>
      <c r="B1140" s="12" t="s">
        <v>194</v>
      </c>
      <c r="C1140" s="74" t="s">
        <v>364</v>
      </c>
      <c r="D1140" s="73" t="s">
        <v>411</v>
      </c>
      <c r="E1140" s="65">
        <v>44498</v>
      </c>
      <c r="F1140" s="66">
        <v>44502</v>
      </c>
      <c r="G1140" s="66">
        <v>44508</v>
      </c>
      <c r="H1140" s="70">
        <v>0.015</v>
      </c>
      <c r="I1140" s="113">
        <v>0.1172</v>
      </c>
      <c r="J1140" s="113">
        <v>0</v>
      </c>
      <c r="K1140" s="113">
        <v>0.1172</v>
      </c>
      <c r="L1140" s="60">
        <f>+K1140-((K1140*0.4234*0.125)+(K1140*(1-0.4234)*0.26))</f>
        <v>0.0934270348</v>
      </c>
      <c r="M1140" s="60">
        <f t="shared" si="42"/>
        <v>0.0934270348</v>
      </c>
      <c r="N1140" s="67" t="s">
        <v>251</v>
      </c>
      <c r="IR1140" s="10"/>
    </row>
    <row r="1141" spans="1:252" ht="23.25" customHeight="1">
      <c r="A1141" s="94"/>
      <c r="B1141" s="12" t="s">
        <v>307</v>
      </c>
      <c r="C1141" s="64" t="s">
        <v>420</v>
      </c>
      <c r="D1141" s="12" t="s">
        <v>411</v>
      </c>
      <c r="E1141" s="65">
        <v>44498</v>
      </c>
      <c r="F1141" s="66">
        <v>44502</v>
      </c>
      <c r="G1141" s="66">
        <v>44508</v>
      </c>
      <c r="H1141" s="70">
        <v>0.015</v>
      </c>
      <c r="I1141" s="113">
        <v>0.0064</v>
      </c>
      <c r="J1141" s="113">
        <v>0</v>
      </c>
      <c r="K1141" s="113">
        <v>0.0064</v>
      </c>
      <c r="L1141" s="60">
        <f>+K1141-((K1141*0.5961*0.125)+(K1141*(1-0.5961)*0.26))</f>
        <v>0.0052510304</v>
      </c>
      <c r="M1141" s="60">
        <f t="shared" si="42"/>
        <v>0.0052510304</v>
      </c>
      <c r="N1141" s="67" t="s">
        <v>251</v>
      </c>
      <c r="IR1141" s="10"/>
    </row>
    <row r="1142" spans="1:252" ht="23.25" customHeight="1">
      <c r="A1142" s="94"/>
      <c r="B1142" s="12" t="s">
        <v>185</v>
      </c>
      <c r="C1142" s="69" t="s">
        <v>366</v>
      </c>
      <c r="D1142" s="12" t="s">
        <v>411</v>
      </c>
      <c r="E1142" s="65">
        <v>44498</v>
      </c>
      <c r="F1142" s="66">
        <v>44502</v>
      </c>
      <c r="G1142" s="66">
        <v>44508</v>
      </c>
      <c r="H1142" s="70">
        <v>0.015</v>
      </c>
      <c r="I1142" s="113">
        <v>0.1067</v>
      </c>
      <c r="J1142" s="113">
        <v>0</v>
      </c>
      <c r="K1142" s="113">
        <v>0.1067</v>
      </c>
      <c r="L1142" s="60">
        <f>+K1142-((K1142*0.5961*0.125)+(K1142*(1-0.5961)*0.26))</f>
        <v>0.08754452245</v>
      </c>
      <c r="M1142" s="60">
        <f t="shared" si="42"/>
        <v>0.08754452245</v>
      </c>
      <c r="N1142" s="67" t="s">
        <v>251</v>
      </c>
      <c r="IR1142" s="10"/>
    </row>
    <row r="1143" spans="1:252" ht="23.25" customHeight="1">
      <c r="A1143" s="94"/>
      <c r="B1143" s="12" t="s">
        <v>193</v>
      </c>
      <c r="C1143" s="74" t="s">
        <v>367</v>
      </c>
      <c r="D1143" s="73" t="s">
        <v>411</v>
      </c>
      <c r="E1143" s="65">
        <v>44498</v>
      </c>
      <c r="F1143" s="66">
        <v>44502</v>
      </c>
      <c r="G1143" s="66">
        <v>44508</v>
      </c>
      <c r="H1143" s="70">
        <v>0.015</v>
      </c>
      <c r="I1143" s="113">
        <v>0.1042</v>
      </c>
      <c r="J1143" s="113">
        <v>0</v>
      </c>
      <c r="K1143" s="113">
        <v>0.1042</v>
      </c>
      <c r="L1143" s="60">
        <f>+K1143-((K1143*0.5961*0.125)+(K1143*(1-0.5961)*0.26))</f>
        <v>0.0854933387</v>
      </c>
      <c r="M1143" s="60">
        <f t="shared" si="42"/>
        <v>0.0854933387</v>
      </c>
      <c r="N1143" s="67" t="s">
        <v>251</v>
      </c>
      <c r="IR1143" s="10"/>
    </row>
    <row r="1144" spans="1:252" ht="23.25" customHeight="1">
      <c r="A1144" s="94"/>
      <c r="B1144" s="12" t="s">
        <v>309</v>
      </c>
      <c r="C1144" s="64" t="s">
        <v>427</v>
      </c>
      <c r="D1144" s="12" t="s">
        <v>411</v>
      </c>
      <c r="E1144" s="65">
        <v>44498</v>
      </c>
      <c r="F1144" s="66">
        <v>44502</v>
      </c>
      <c r="G1144" s="66">
        <v>44508</v>
      </c>
      <c r="H1144" s="70">
        <v>0.015</v>
      </c>
      <c r="I1144" s="113">
        <v>0.0064</v>
      </c>
      <c r="J1144" s="113">
        <v>0</v>
      </c>
      <c r="K1144" s="113">
        <v>0.0064</v>
      </c>
      <c r="L1144" s="60">
        <f>+K1144-((K1144*0.0215*0.125)+(K1144*(1-0.0215)*0.26))</f>
        <v>0.004754576</v>
      </c>
      <c r="M1144" s="60">
        <f t="shared" si="42"/>
        <v>0.004754576</v>
      </c>
      <c r="N1144" s="67" t="s">
        <v>251</v>
      </c>
      <c r="IR1144" s="10"/>
    </row>
    <row r="1145" spans="1:252" ht="23.25" customHeight="1">
      <c r="A1145" s="94"/>
      <c r="B1145" s="12" t="s">
        <v>187</v>
      </c>
      <c r="C1145" s="69" t="s">
        <v>368</v>
      </c>
      <c r="D1145" s="12" t="s">
        <v>411</v>
      </c>
      <c r="E1145" s="65">
        <v>44498</v>
      </c>
      <c r="F1145" s="66">
        <v>44502</v>
      </c>
      <c r="G1145" s="66">
        <v>44508</v>
      </c>
      <c r="H1145" s="70">
        <v>0.015</v>
      </c>
      <c r="I1145" s="113">
        <v>0.1123</v>
      </c>
      <c r="J1145" s="113">
        <v>0</v>
      </c>
      <c r="K1145" s="113">
        <v>0.1123</v>
      </c>
      <c r="L1145" s="60">
        <f>+K1145-((K1145*0.0215*0.125)+(K1145*(1-0.0215)*0.26))</f>
        <v>0.08342795075</v>
      </c>
      <c r="M1145" s="60">
        <f t="shared" si="42"/>
        <v>0.08342795075</v>
      </c>
      <c r="N1145" s="67" t="s">
        <v>251</v>
      </c>
      <c r="IR1145" s="10"/>
    </row>
    <row r="1146" spans="1:252" ht="23.25" customHeight="1">
      <c r="A1146" s="94"/>
      <c r="B1146" s="12" t="s">
        <v>195</v>
      </c>
      <c r="C1146" s="74" t="s">
        <v>369</v>
      </c>
      <c r="D1146" s="73" t="s">
        <v>411</v>
      </c>
      <c r="E1146" s="65">
        <v>44498</v>
      </c>
      <c r="F1146" s="66">
        <v>44502</v>
      </c>
      <c r="G1146" s="66">
        <v>44508</v>
      </c>
      <c r="H1146" s="70">
        <v>0.015</v>
      </c>
      <c r="I1146" s="113">
        <v>0.1161</v>
      </c>
      <c r="J1146" s="113">
        <v>0</v>
      </c>
      <c r="K1146" s="113">
        <v>0.1161</v>
      </c>
      <c r="L1146" s="60">
        <f>+K1146-((K1146*0.0215*0.125)+(K1146*(1-0.0215)*0.26))</f>
        <v>0.08625098025</v>
      </c>
      <c r="M1146" s="60">
        <f t="shared" si="42"/>
        <v>0.08625098025</v>
      </c>
      <c r="N1146" s="67" t="s">
        <v>251</v>
      </c>
      <c r="IR1146" s="10"/>
    </row>
    <row r="1147" spans="1:252" ht="23.25" customHeight="1">
      <c r="A1147" s="94"/>
      <c r="B1147" s="12" t="s">
        <v>312</v>
      </c>
      <c r="C1147" s="64" t="s">
        <v>428</v>
      </c>
      <c r="D1147" s="12" t="s">
        <v>411</v>
      </c>
      <c r="E1147" s="65">
        <v>44498</v>
      </c>
      <c r="F1147" s="66">
        <v>44502</v>
      </c>
      <c r="G1147" s="66">
        <v>44508</v>
      </c>
      <c r="H1147" s="70">
        <v>0.035</v>
      </c>
      <c r="I1147" s="113">
        <v>0.0135</v>
      </c>
      <c r="J1147" s="113">
        <v>0</v>
      </c>
      <c r="K1147" s="113">
        <v>0.0135</v>
      </c>
      <c r="L1147" s="60">
        <f>+K1147-((K1147*0.000000000001*0.125)+(K1147*(1-0.00000000001)*0.26))</f>
        <v>0.009990000000033413</v>
      </c>
      <c r="M1147" s="60">
        <f t="shared" si="42"/>
        <v>0.009990000000033413</v>
      </c>
      <c r="N1147" s="67" t="s">
        <v>251</v>
      </c>
      <c r="IR1147" s="10"/>
    </row>
    <row r="1148" spans="1:252" ht="23.25" customHeight="1">
      <c r="A1148" s="94"/>
      <c r="B1148" s="12" t="s">
        <v>190</v>
      </c>
      <c r="C1148" s="69" t="s">
        <v>370</v>
      </c>
      <c r="D1148" s="12" t="s">
        <v>411</v>
      </c>
      <c r="E1148" s="65">
        <v>44498</v>
      </c>
      <c r="F1148" s="66">
        <v>44502</v>
      </c>
      <c r="G1148" s="66">
        <v>44508</v>
      </c>
      <c r="H1148" s="70">
        <v>0.035</v>
      </c>
      <c r="I1148" s="113">
        <v>0.2555</v>
      </c>
      <c r="J1148" s="113">
        <v>0</v>
      </c>
      <c r="K1148" s="113">
        <v>0.2555</v>
      </c>
      <c r="L1148" s="60">
        <f>+K1148-((K1148*0.000000000001*0.125)+(K1148*(1-0.00000000001)*0.26))</f>
        <v>0.18907000000063237</v>
      </c>
      <c r="M1148" s="60">
        <f t="shared" si="42"/>
        <v>0.18907000000063237</v>
      </c>
      <c r="N1148" s="67" t="s">
        <v>251</v>
      </c>
      <c r="IR1148" s="10"/>
    </row>
    <row r="1149" spans="1:252" ht="23.25" customHeight="1">
      <c r="A1149" s="94"/>
      <c r="B1149" s="12" t="s">
        <v>198</v>
      </c>
      <c r="C1149" s="74" t="s">
        <v>371</v>
      </c>
      <c r="D1149" s="73" t="s">
        <v>411</v>
      </c>
      <c r="E1149" s="65">
        <v>44498</v>
      </c>
      <c r="F1149" s="66">
        <v>44502</v>
      </c>
      <c r="G1149" s="66">
        <v>44508</v>
      </c>
      <c r="H1149" s="70">
        <v>0.035</v>
      </c>
      <c r="I1149" s="113">
        <v>0.2564</v>
      </c>
      <c r="J1149" s="113">
        <v>0</v>
      </c>
      <c r="K1149" s="113">
        <v>0.2564</v>
      </c>
      <c r="L1149" s="60">
        <f>+K1149-((K1149*0.000000000001*0.125)+(K1149*(1-0.00000000001)*0.26))</f>
        <v>0.18973600000063462</v>
      </c>
      <c r="M1149" s="60">
        <f t="shared" si="42"/>
        <v>0.18973600000063462</v>
      </c>
      <c r="N1149" s="67" t="s">
        <v>251</v>
      </c>
      <c r="IR1149" s="10"/>
    </row>
    <row r="1150" spans="1:252" ht="23.25" customHeight="1">
      <c r="A1150" s="94"/>
      <c r="B1150" s="12" t="s">
        <v>516</v>
      </c>
      <c r="C1150" s="64" t="s">
        <v>518</v>
      </c>
      <c r="D1150" s="12" t="s">
        <v>411</v>
      </c>
      <c r="E1150" s="65">
        <v>44498</v>
      </c>
      <c r="F1150" s="66">
        <v>44502</v>
      </c>
      <c r="G1150" s="66">
        <v>44508</v>
      </c>
      <c r="H1150" s="70">
        <v>0.02</v>
      </c>
      <c r="I1150" s="113">
        <v>0.1347</v>
      </c>
      <c r="J1150" s="113">
        <v>0.1347</v>
      </c>
      <c r="K1150" s="113">
        <v>0</v>
      </c>
      <c r="L1150" s="60">
        <f>+K1150-((K1150*0.4282*0.125)+(K1150*(1-0.4282)*0.26))</f>
        <v>0</v>
      </c>
      <c r="M1150" s="60">
        <f t="shared" si="42"/>
        <v>0.1347</v>
      </c>
      <c r="N1150" s="67" t="s">
        <v>251</v>
      </c>
      <c r="IR1150" s="10"/>
    </row>
    <row r="1151" spans="1:14" ht="23.25" customHeight="1">
      <c r="A1151" s="94"/>
      <c r="B1151" s="12" t="s">
        <v>517</v>
      </c>
      <c r="C1151" s="64" t="s">
        <v>519</v>
      </c>
      <c r="D1151" s="12" t="s">
        <v>411</v>
      </c>
      <c r="E1151" s="65">
        <v>44498</v>
      </c>
      <c r="F1151" s="66">
        <v>44502</v>
      </c>
      <c r="G1151" s="66">
        <v>44508</v>
      </c>
      <c r="H1151" s="70">
        <v>0.02</v>
      </c>
      <c r="I1151" s="113">
        <v>0.1356</v>
      </c>
      <c r="J1151" s="113">
        <v>0.1356</v>
      </c>
      <c r="K1151" s="113">
        <v>0</v>
      </c>
      <c r="L1151" s="60">
        <f>+K1151-((K1151*0.4282*0.125)+(K1151*(1-0.4282)*0.26))</f>
        <v>0</v>
      </c>
      <c r="M1151" s="60">
        <f t="shared" si="42"/>
        <v>0.1356</v>
      </c>
      <c r="N1151" s="67" t="s">
        <v>251</v>
      </c>
    </row>
    <row r="1152" spans="1:14" ht="23.25" customHeight="1">
      <c r="A1152" s="94"/>
      <c r="B1152" s="12" t="s">
        <v>313</v>
      </c>
      <c r="C1152" s="64" t="s">
        <v>429</v>
      </c>
      <c r="D1152" s="12" t="s">
        <v>411</v>
      </c>
      <c r="E1152" s="65">
        <v>44498</v>
      </c>
      <c r="F1152" s="66">
        <v>44502</v>
      </c>
      <c r="G1152" s="66">
        <v>44508</v>
      </c>
      <c r="H1152" s="70">
        <v>0.01</v>
      </c>
      <c r="I1152" s="113">
        <v>0.0043</v>
      </c>
      <c r="J1152" s="113">
        <v>0</v>
      </c>
      <c r="K1152" s="113">
        <v>0.0043</v>
      </c>
      <c r="L1152" s="60">
        <f>+K1152-((K1152*0.148*0.125)+(K1152*(1-0.148)*0.26))</f>
        <v>0.0032679140000000002</v>
      </c>
      <c r="M1152" s="60">
        <f aca="true" t="shared" si="43" ref="M1152:M1183">J1152+L1152</f>
        <v>0.0032679140000000002</v>
      </c>
      <c r="N1152" s="67" t="s">
        <v>251</v>
      </c>
    </row>
    <row r="1153" spans="1:252" ht="23.25" customHeight="1">
      <c r="A1153" s="10"/>
      <c r="B1153" s="153" t="s">
        <v>310</v>
      </c>
      <c r="C1153" s="163" t="s">
        <v>424</v>
      </c>
      <c r="D1153" s="153" t="s">
        <v>411</v>
      </c>
      <c r="E1153" s="154">
        <v>44530</v>
      </c>
      <c r="F1153" s="155">
        <v>44531</v>
      </c>
      <c r="G1153" s="155">
        <v>44536</v>
      </c>
      <c r="H1153" s="167">
        <v>0.05</v>
      </c>
      <c r="I1153" s="157"/>
      <c r="J1153" s="157"/>
      <c r="K1153" s="157"/>
      <c r="L1153" s="149">
        <f>+K1153-((K1153*0.0367*0.125)+(K1153*(1-0.0367)*0.26))</f>
        <v>0</v>
      </c>
      <c r="M1153" s="149">
        <f t="shared" si="43"/>
        <v>0</v>
      </c>
      <c r="N1153" s="159" t="s">
        <v>251</v>
      </c>
      <c r="IR1153" s="10"/>
    </row>
    <row r="1154" spans="1:252" ht="23.25" customHeight="1">
      <c r="A1154" s="10"/>
      <c r="B1154" s="153" t="s">
        <v>188</v>
      </c>
      <c r="C1154" s="166" t="s">
        <v>339</v>
      </c>
      <c r="D1154" s="153" t="s">
        <v>411</v>
      </c>
      <c r="E1154" s="154">
        <v>44530</v>
      </c>
      <c r="F1154" s="155">
        <v>44531</v>
      </c>
      <c r="G1154" s="155">
        <v>44536</v>
      </c>
      <c r="H1154" s="167">
        <v>0.05</v>
      </c>
      <c r="I1154" s="157"/>
      <c r="J1154" s="157"/>
      <c r="K1154" s="157"/>
      <c r="L1154" s="149">
        <f>+K1154-((K1154*0.0367*0.125)+(K1154*(1-0.0367)*0.26))</f>
        <v>0</v>
      </c>
      <c r="M1154" s="149">
        <f t="shared" si="43"/>
        <v>0</v>
      </c>
      <c r="N1154" s="159" t="s">
        <v>251</v>
      </c>
      <c r="IR1154" s="10"/>
    </row>
    <row r="1155" spans="1:252" ht="23.25" customHeight="1">
      <c r="A1155" s="10"/>
      <c r="B1155" s="153" t="s">
        <v>196</v>
      </c>
      <c r="C1155" s="160" t="s">
        <v>340</v>
      </c>
      <c r="D1155" s="161" t="s">
        <v>411</v>
      </c>
      <c r="E1155" s="154">
        <v>44530</v>
      </c>
      <c r="F1155" s="155">
        <v>44531</v>
      </c>
      <c r="G1155" s="155">
        <v>44536</v>
      </c>
      <c r="H1155" s="167">
        <v>0.05</v>
      </c>
      <c r="I1155" s="157"/>
      <c r="J1155" s="157"/>
      <c r="K1155" s="157"/>
      <c r="L1155" s="149">
        <f>+K1155-((K1155*0.0367*0.125)+(K1155*(1-0.0367)*0.26))</f>
        <v>0</v>
      </c>
      <c r="M1155" s="149">
        <f t="shared" si="43"/>
        <v>0</v>
      </c>
      <c r="N1155" s="159" t="s">
        <v>251</v>
      </c>
      <c r="IR1155" s="10"/>
    </row>
    <row r="1156" spans="1:252" ht="23.25" customHeight="1">
      <c r="A1156" s="10"/>
      <c r="B1156" s="153" t="s">
        <v>191</v>
      </c>
      <c r="C1156" s="166" t="s">
        <v>346</v>
      </c>
      <c r="D1156" s="153" t="s">
        <v>411</v>
      </c>
      <c r="E1156" s="154">
        <v>44530</v>
      </c>
      <c r="F1156" s="155">
        <v>44531</v>
      </c>
      <c r="G1156" s="155">
        <v>44536</v>
      </c>
      <c r="H1156" s="159">
        <v>0.035</v>
      </c>
      <c r="I1156" s="157"/>
      <c r="J1156" s="157"/>
      <c r="K1156" s="157"/>
      <c r="L1156" s="149">
        <f>+K1156-((K1156*0.7506*0.125)+(K1156*(1-0.7506)*0.26))</f>
        <v>0</v>
      </c>
      <c r="M1156" s="149">
        <f t="shared" si="43"/>
        <v>0</v>
      </c>
      <c r="N1156" s="159" t="s">
        <v>251</v>
      </c>
      <c r="IR1156" s="10"/>
    </row>
    <row r="1157" spans="1:252" ht="23.25" customHeight="1">
      <c r="A1157" s="10"/>
      <c r="B1157" s="153" t="s">
        <v>199</v>
      </c>
      <c r="C1157" s="160" t="s">
        <v>347</v>
      </c>
      <c r="D1157" s="161" t="s">
        <v>411</v>
      </c>
      <c r="E1157" s="154">
        <v>44530</v>
      </c>
      <c r="F1157" s="155">
        <v>44531</v>
      </c>
      <c r="G1157" s="155">
        <v>44536</v>
      </c>
      <c r="H1157" s="159">
        <v>0.035</v>
      </c>
      <c r="I1157" s="157"/>
      <c r="J1157" s="157"/>
      <c r="K1157" s="157"/>
      <c r="L1157" s="149">
        <f>+K1157-((K1157*0.7506*0.125)+(K1157*(1-0.7506)*0.26))</f>
        <v>0</v>
      </c>
      <c r="M1157" s="149">
        <f t="shared" si="43"/>
        <v>0</v>
      </c>
      <c r="N1157" s="159" t="s">
        <v>251</v>
      </c>
      <c r="IR1157" s="10"/>
    </row>
    <row r="1158" spans="1:252" ht="23.25" customHeight="1">
      <c r="A1158" s="10"/>
      <c r="B1158" s="153" t="s">
        <v>306</v>
      </c>
      <c r="C1158" s="163" t="s">
        <v>430</v>
      </c>
      <c r="D1158" s="153" t="s">
        <v>411</v>
      </c>
      <c r="E1158" s="154">
        <v>44530</v>
      </c>
      <c r="F1158" s="155">
        <v>44531</v>
      </c>
      <c r="G1158" s="155">
        <v>44536</v>
      </c>
      <c r="H1158" s="167">
        <v>0.025</v>
      </c>
      <c r="I1158" s="157"/>
      <c r="J1158" s="157"/>
      <c r="K1158" s="157"/>
      <c r="L1158" s="149">
        <f>+K1158-((K1158*0.0002*0.125)+(K1158*(1-0.0002)*0.26))</f>
        <v>0</v>
      </c>
      <c r="M1158" s="149">
        <f t="shared" si="43"/>
        <v>0</v>
      </c>
      <c r="N1158" s="159" t="s">
        <v>251</v>
      </c>
      <c r="IR1158" s="10"/>
    </row>
    <row r="1159" spans="1:252" ht="23.25" customHeight="1">
      <c r="A1159" s="10"/>
      <c r="B1159" s="153" t="s">
        <v>184</v>
      </c>
      <c r="C1159" s="166" t="s">
        <v>354</v>
      </c>
      <c r="D1159" s="153" t="s">
        <v>411</v>
      </c>
      <c r="E1159" s="154">
        <v>44530</v>
      </c>
      <c r="F1159" s="155">
        <v>44531</v>
      </c>
      <c r="G1159" s="155">
        <v>44536</v>
      </c>
      <c r="H1159" s="167">
        <v>0.025</v>
      </c>
      <c r="I1159" s="157"/>
      <c r="J1159" s="157"/>
      <c r="K1159" s="157"/>
      <c r="L1159" s="149">
        <f>+K1159-((K1159*0.0002*0.125)+(K1159*(1-0.0002)*0.26))</f>
        <v>0</v>
      </c>
      <c r="M1159" s="149">
        <f t="shared" si="43"/>
        <v>0</v>
      </c>
      <c r="N1159" s="159" t="s">
        <v>251</v>
      </c>
      <c r="IR1159" s="10"/>
    </row>
    <row r="1160" spans="1:252" ht="23.25" customHeight="1">
      <c r="A1160" s="10"/>
      <c r="B1160" s="153" t="s">
        <v>192</v>
      </c>
      <c r="C1160" s="160" t="s">
        <v>355</v>
      </c>
      <c r="D1160" s="161" t="s">
        <v>411</v>
      </c>
      <c r="E1160" s="154">
        <v>44530</v>
      </c>
      <c r="F1160" s="155">
        <v>44531</v>
      </c>
      <c r="G1160" s="155">
        <v>44536</v>
      </c>
      <c r="H1160" s="167">
        <v>0.025</v>
      </c>
      <c r="I1160" s="157"/>
      <c r="J1160" s="157"/>
      <c r="K1160" s="157"/>
      <c r="L1160" s="149">
        <f>+K1160-((K1160*0.0002*0.125)+(K1160*(1-0.0002)*0.26))</f>
        <v>0</v>
      </c>
      <c r="M1160" s="149">
        <f t="shared" si="43"/>
        <v>0</v>
      </c>
      <c r="N1160" s="159" t="s">
        <v>251</v>
      </c>
      <c r="IR1160" s="10"/>
    </row>
    <row r="1161" spans="1:252" ht="23.25" customHeight="1">
      <c r="A1161" s="10"/>
      <c r="B1161" s="153" t="s">
        <v>311</v>
      </c>
      <c r="C1161" s="163" t="s">
        <v>425</v>
      </c>
      <c r="D1161" s="153" t="s">
        <v>411</v>
      </c>
      <c r="E1161" s="154">
        <v>44530</v>
      </c>
      <c r="F1161" s="155">
        <v>44531</v>
      </c>
      <c r="G1161" s="155">
        <v>44536</v>
      </c>
      <c r="H1161" s="167">
        <v>0.015</v>
      </c>
      <c r="I1161" s="157"/>
      <c r="J1161" s="157"/>
      <c r="K1161" s="157"/>
      <c r="L1161" s="149">
        <f>+K1161-((K1161*0.0000001*0.125)+(K1161*(1-0.0000001)*0.26))</f>
        <v>0</v>
      </c>
      <c r="M1161" s="149">
        <f t="shared" si="43"/>
        <v>0</v>
      </c>
      <c r="N1161" s="159" t="s">
        <v>251</v>
      </c>
      <c r="IR1161" s="10"/>
    </row>
    <row r="1162" spans="1:252" ht="23.25" customHeight="1">
      <c r="A1162" s="10"/>
      <c r="B1162" s="153" t="s">
        <v>189</v>
      </c>
      <c r="C1162" s="166" t="s">
        <v>356</v>
      </c>
      <c r="D1162" s="153" t="s">
        <v>411</v>
      </c>
      <c r="E1162" s="154">
        <v>44530</v>
      </c>
      <c r="F1162" s="155">
        <v>44531</v>
      </c>
      <c r="G1162" s="155">
        <v>44536</v>
      </c>
      <c r="H1162" s="167">
        <v>0.015</v>
      </c>
      <c r="I1162" s="157"/>
      <c r="J1162" s="157"/>
      <c r="K1162" s="157"/>
      <c r="L1162" s="149">
        <f>+K1162-((K1162*0.0000001*0.125)+(K1162*(1-0.0000001)*0.26))</f>
        <v>0</v>
      </c>
      <c r="M1162" s="149">
        <f t="shared" si="43"/>
        <v>0</v>
      </c>
      <c r="N1162" s="159" t="s">
        <v>251</v>
      </c>
      <c r="IR1162" s="10"/>
    </row>
    <row r="1163" spans="1:252" ht="23.25" customHeight="1">
      <c r="A1163" s="10"/>
      <c r="B1163" s="153" t="s">
        <v>197</v>
      </c>
      <c r="C1163" s="160" t="s">
        <v>357</v>
      </c>
      <c r="D1163" s="161" t="s">
        <v>411</v>
      </c>
      <c r="E1163" s="154">
        <v>44530</v>
      </c>
      <c r="F1163" s="155">
        <v>44531</v>
      </c>
      <c r="G1163" s="155">
        <v>44536</v>
      </c>
      <c r="H1163" s="167">
        <v>0.015</v>
      </c>
      <c r="I1163" s="157"/>
      <c r="J1163" s="157"/>
      <c r="K1163" s="157"/>
      <c r="L1163" s="149">
        <f>+K1163-((K1163*0.0000001*0.125)+(K1163*(1-0.0000001)*0.26))</f>
        <v>0</v>
      </c>
      <c r="M1163" s="149">
        <f t="shared" si="43"/>
        <v>0</v>
      </c>
      <c r="N1163" s="159" t="s">
        <v>251</v>
      </c>
      <c r="IR1163" s="10"/>
    </row>
    <row r="1164" spans="1:252" ht="23.25" customHeight="1">
      <c r="A1164" s="10"/>
      <c r="B1164" s="153" t="s">
        <v>308</v>
      </c>
      <c r="C1164" s="163" t="s">
        <v>426</v>
      </c>
      <c r="D1164" s="153" t="s">
        <v>411</v>
      </c>
      <c r="E1164" s="154">
        <v>44530</v>
      </c>
      <c r="F1164" s="155">
        <v>44531</v>
      </c>
      <c r="G1164" s="155">
        <v>44536</v>
      </c>
      <c r="H1164" s="167">
        <v>0.015</v>
      </c>
      <c r="I1164" s="157"/>
      <c r="J1164" s="157"/>
      <c r="K1164" s="157"/>
      <c r="L1164" s="149">
        <f>+K1164-((K1164*0.4234*0.125)+(K1164*(1-0.4234)*0.26))</f>
        <v>0</v>
      </c>
      <c r="M1164" s="149">
        <f t="shared" si="43"/>
        <v>0</v>
      </c>
      <c r="N1164" s="159" t="s">
        <v>251</v>
      </c>
      <c r="IR1164" s="10"/>
    </row>
    <row r="1165" spans="1:252" ht="23.25" customHeight="1">
      <c r="A1165" s="10"/>
      <c r="B1165" s="153" t="s">
        <v>186</v>
      </c>
      <c r="C1165" s="166" t="s">
        <v>363</v>
      </c>
      <c r="D1165" s="153" t="s">
        <v>411</v>
      </c>
      <c r="E1165" s="154">
        <v>44530</v>
      </c>
      <c r="F1165" s="155">
        <v>44531</v>
      </c>
      <c r="G1165" s="155">
        <v>44536</v>
      </c>
      <c r="H1165" s="167">
        <v>0.015</v>
      </c>
      <c r="I1165" s="157"/>
      <c r="J1165" s="157"/>
      <c r="K1165" s="157"/>
      <c r="L1165" s="149">
        <f>+K1165-((K1165*0.4234*0.125)+(K1165*(1-0.4234)*0.26))</f>
        <v>0</v>
      </c>
      <c r="M1165" s="149">
        <f t="shared" si="43"/>
        <v>0</v>
      </c>
      <c r="N1165" s="159" t="s">
        <v>251</v>
      </c>
      <c r="IR1165" s="10"/>
    </row>
    <row r="1166" spans="1:252" ht="23.25" customHeight="1">
      <c r="A1166" s="10"/>
      <c r="B1166" s="153" t="s">
        <v>194</v>
      </c>
      <c r="C1166" s="160" t="s">
        <v>364</v>
      </c>
      <c r="D1166" s="161" t="s">
        <v>411</v>
      </c>
      <c r="E1166" s="154">
        <v>44530</v>
      </c>
      <c r="F1166" s="155">
        <v>44531</v>
      </c>
      <c r="G1166" s="155">
        <v>44536</v>
      </c>
      <c r="H1166" s="167">
        <v>0.015</v>
      </c>
      <c r="I1166" s="157"/>
      <c r="J1166" s="157"/>
      <c r="K1166" s="157"/>
      <c r="L1166" s="149">
        <f>+K1166-((K1166*0.4234*0.125)+(K1166*(1-0.4234)*0.26))</f>
        <v>0</v>
      </c>
      <c r="M1166" s="149">
        <f t="shared" si="43"/>
        <v>0</v>
      </c>
      <c r="N1166" s="159" t="s">
        <v>251</v>
      </c>
      <c r="IR1166" s="10"/>
    </row>
    <row r="1167" spans="1:252" ht="23.25" customHeight="1">
      <c r="A1167" s="10"/>
      <c r="B1167" s="153" t="s">
        <v>307</v>
      </c>
      <c r="C1167" s="163" t="s">
        <v>420</v>
      </c>
      <c r="D1167" s="153" t="s">
        <v>411</v>
      </c>
      <c r="E1167" s="154">
        <v>44530</v>
      </c>
      <c r="F1167" s="155">
        <v>44531</v>
      </c>
      <c r="G1167" s="155">
        <v>44536</v>
      </c>
      <c r="H1167" s="167">
        <v>0.015</v>
      </c>
      <c r="I1167" s="157"/>
      <c r="J1167" s="157"/>
      <c r="K1167" s="157"/>
      <c r="L1167" s="149">
        <f>+K1167-((K1167*0.5961*0.125)+(K1167*(1-0.5961)*0.26))</f>
        <v>0</v>
      </c>
      <c r="M1167" s="149">
        <f t="shared" si="43"/>
        <v>0</v>
      </c>
      <c r="N1167" s="159" t="s">
        <v>251</v>
      </c>
      <c r="IR1167" s="10"/>
    </row>
    <row r="1168" spans="1:252" ht="23.25" customHeight="1">
      <c r="A1168" s="10"/>
      <c r="B1168" s="153" t="s">
        <v>185</v>
      </c>
      <c r="C1168" s="166" t="s">
        <v>366</v>
      </c>
      <c r="D1168" s="153" t="s">
        <v>411</v>
      </c>
      <c r="E1168" s="154">
        <v>44530</v>
      </c>
      <c r="F1168" s="155">
        <v>44531</v>
      </c>
      <c r="G1168" s="155">
        <v>44536</v>
      </c>
      <c r="H1168" s="167">
        <v>0.015</v>
      </c>
      <c r="I1168" s="157"/>
      <c r="J1168" s="157"/>
      <c r="K1168" s="157"/>
      <c r="L1168" s="149">
        <f>+K1168-((K1168*0.5961*0.125)+(K1168*(1-0.5961)*0.26))</f>
        <v>0</v>
      </c>
      <c r="M1168" s="149">
        <f t="shared" si="43"/>
        <v>0</v>
      </c>
      <c r="N1168" s="159" t="s">
        <v>251</v>
      </c>
      <c r="IR1168" s="10"/>
    </row>
    <row r="1169" spans="1:252" ht="23.25" customHeight="1">
      <c r="A1169" s="10"/>
      <c r="B1169" s="153" t="s">
        <v>193</v>
      </c>
      <c r="C1169" s="160" t="s">
        <v>367</v>
      </c>
      <c r="D1169" s="161" t="s">
        <v>411</v>
      </c>
      <c r="E1169" s="154">
        <v>44530</v>
      </c>
      <c r="F1169" s="155">
        <v>44531</v>
      </c>
      <c r="G1169" s="155">
        <v>44536</v>
      </c>
      <c r="H1169" s="167">
        <v>0.015</v>
      </c>
      <c r="I1169" s="157"/>
      <c r="J1169" s="157"/>
      <c r="K1169" s="157"/>
      <c r="L1169" s="149">
        <f>+K1169-((K1169*0.5961*0.125)+(K1169*(1-0.5961)*0.26))</f>
        <v>0</v>
      </c>
      <c r="M1169" s="149">
        <f t="shared" si="43"/>
        <v>0</v>
      </c>
      <c r="N1169" s="159" t="s">
        <v>251</v>
      </c>
      <c r="IR1169" s="10"/>
    </row>
    <row r="1170" spans="1:252" ht="23.25" customHeight="1">
      <c r="A1170" s="10"/>
      <c r="B1170" s="153" t="s">
        <v>309</v>
      </c>
      <c r="C1170" s="163" t="s">
        <v>427</v>
      </c>
      <c r="D1170" s="153" t="s">
        <v>411</v>
      </c>
      <c r="E1170" s="154">
        <v>44530</v>
      </c>
      <c r="F1170" s="155">
        <v>44531</v>
      </c>
      <c r="G1170" s="155">
        <v>44536</v>
      </c>
      <c r="H1170" s="167">
        <v>0.015</v>
      </c>
      <c r="I1170" s="157"/>
      <c r="J1170" s="157"/>
      <c r="K1170" s="157"/>
      <c r="L1170" s="149">
        <f>+K1170-((K1170*0.0215*0.125)+(K1170*(1-0.0215)*0.26))</f>
        <v>0</v>
      </c>
      <c r="M1170" s="149">
        <f t="shared" si="43"/>
        <v>0</v>
      </c>
      <c r="N1170" s="159" t="s">
        <v>251</v>
      </c>
      <c r="IR1170" s="10"/>
    </row>
    <row r="1171" spans="1:14" ht="23.25" customHeight="1">
      <c r="A1171" s="10"/>
      <c r="B1171" s="153" t="s">
        <v>187</v>
      </c>
      <c r="C1171" s="166" t="s">
        <v>368</v>
      </c>
      <c r="D1171" s="153" t="s">
        <v>411</v>
      </c>
      <c r="E1171" s="154">
        <v>44530</v>
      </c>
      <c r="F1171" s="155">
        <v>44531</v>
      </c>
      <c r="G1171" s="155">
        <v>44536</v>
      </c>
      <c r="H1171" s="167">
        <v>0.015</v>
      </c>
      <c r="I1171" s="157"/>
      <c r="J1171" s="157"/>
      <c r="K1171" s="157"/>
      <c r="L1171" s="149">
        <f>+K1171-((K1171*0.0215*0.125)+(K1171*(1-0.0215)*0.26))</f>
        <v>0</v>
      </c>
      <c r="M1171" s="149">
        <f t="shared" si="43"/>
        <v>0</v>
      </c>
      <c r="N1171" s="159" t="s">
        <v>251</v>
      </c>
    </row>
    <row r="1172" spans="1:14" ht="23.25" customHeight="1">
      <c r="A1172" s="10"/>
      <c r="B1172" s="153" t="s">
        <v>195</v>
      </c>
      <c r="C1172" s="160" t="s">
        <v>369</v>
      </c>
      <c r="D1172" s="161" t="s">
        <v>411</v>
      </c>
      <c r="E1172" s="154">
        <v>44530</v>
      </c>
      <c r="F1172" s="155">
        <v>44531</v>
      </c>
      <c r="G1172" s="155">
        <v>44536</v>
      </c>
      <c r="H1172" s="167">
        <v>0.015</v>
      </c>
      <c r="I1172" s="157"/>
      <c r="J1172" s="157"/>
      <c r="K1172" s="157"/>
      <c r="L1172" s="149">
        <f>+K1172-((K1172*0.0215*0.125)+(K1172*(1-0.0215)*0.26))</f>
        <v>0</v>
      </c>
      <c r="M1172" s="149">
        <f t="shared" si="43"/>
        <v>0</v>
      </c>
      <c r="N1172" s="159" t="s">
        <v>251</v>
      </c>
    </row>
    <row r="1173" spans="1:14" ht="23.25" customHeight="1">
      <c r="A1173" s="10"/>
      <c r="B1173" s="153" t="s">
        <v>312</v>
      </c>
      <c r="C1173" s="163" t="s">
        <v>428</v>
      </c>
      <c r="D1173" s="153" t="s">
        <v>411</v>
      </c>
      <c r="E1173" s="154">
        <v>44530</v>
      </c>
      <c r="F1173" s="155">
        <v>44531</v>
      </c>
      <c r="G1173" s="155">
        <v>44536</v>
      </c>
      <c r="H1173" s="167">
        <v>0.035</v>
      </c>
      <c r="I1173" s="157"/>
      <c r="J1173" s="157"/>
      <c r="K1173" s="157"/>
      <c r="L1173" s="149">
        <f>+K1173-((K1173*0.000000000001*0.125)+(K1173*(1-0.00000000001)*0.26))</f>
        <v>0</v>
      </c>
      <c r="M1173" s="149">
        <f t="shared" si="43"/>
        <v>0</v>
      </c>
      <c r="N1173" s="159" t="s">
        <v>251</v>
      </c>
    </row>
    <row r="1174" spans="1:14" ht="23.25" customHeight="1">
      <c r="A1174" s="10"/>
      <c r="B1174" s="153" t="s">
        <v>190</v>
      </c>
      <c r="C1174" s="166" t="s">
        <v>370</v>
      </c>
      <c r="D1174" s="153" t="s">
        <v>411</v>
      </c>
      <c r="E1174" s="154">
        <v>44530</v>
      </c>
      <c r="F1174" s="155">
        <v>44531</v>
      </c>
      <c r="G1174" s="155">
        <v>44536</v>
      </c>
      <c r="H1174" s="167">
        <v>0.035</v>
      </c>
      <c r="I1174" s="157"/>
      <c r="J1174" s="157"/>
      <c r="K1174" s="157"/>
      <c r="L1174" s="149">
        <f>+K1174-((K1174*0.000000000001*0.125)+(K1174*(1-0.00000000001)*0.26))</f>
        <v>0</v>
      </c>
      <c r="M1174" s="149">
        <f t="shared" si="43"/>
        <v>0</v>
      </c>
      <c r="N1174" s="159" t="s">
        <v>251</v>
      </c>
    </row>
    <row r="1175" spans="1:14" ht="23.25" customHeight="1">
      <c r="A1175" s="10"/>
      <c r="B1175" s="153" t="s">
        <v>198</v>
      </c>
      <c r="C1175" s="160" t="s">
        <v>371</v>
      </c>
      <c r="D1175" s="161" t="s">
        <v>411</v>
      </c>
      <c r="E1175" s="154">
        <v>44530</v>
      </c>
      <c r="F1175" s="155">
        <v>44531</v>
      </c>
      <c r="G1175" s="155">
        <v>44536</v>
      </c>
      <c r="H1175" s="167">
        <v>0.035</v>
      </c>
      <c r="I1175" s="157"/>
      <c r="J1175" s="157"/>
      <c r="K1175" s="157"/>
      <c r="L1175" s="149">
        <f>+K1175-((K1175*0.000000000001*0.125)+(K1175*(1-0.00000000001)*0.26))</f>
        <v>0</v>
      </c>
      <c r="M1175" s="149">
        <f t="shared" si="43"/>
        <v>0</v>
      </c>
      <c r="N1175" s="159" t="s">
        <v>251</v>
      </c>
    </row>
    <row r="1176" spans="1:14" ht="23.25" customHeight="1">
      <c r="A1176" s="10"/>
      <c r="B1176" s="153" t="s">
        <v>516</v>
      </c>
      <c r="C1176" s="163" t="s">
        <v>518</v>
      </c>
      <c r="D1176" s="153" t="s">
        <v>411</v>
      </c>
      <c r="E1176" s="154">
        <v>44530</v>
      </c>
      <c r="F1176" s="155">
        <v>44531</v>
      </c>
      <c r="G1176" s="155">
        <v>44536</v>
      </c>
      <c r="H1176" s="167">
        <v>0.02</v>
      </c>
      <c r="I1176" s="157"/>
      <c r="J1176" s="157"/>
      <c r="K1176" s="157"/>
      <c r="L1176" s="149">
        <f>+K1176-((K1176*0.4282*0.125)+(K1176*(1-0.4282)*0.26))</f>
        <v>0</v>
      </c>
      <c r="M1176" s="149">
        <f t="shared" si="43"/>
        <v>0</v>
      </c>
      <c r="N1176" s="159" t="s">
        <v>251</v>
      </c>
    </row>
    <row r="1177" spans="1:14" ht="23.25" customHeight="1">
      <c r="A1177" s="10"/>
      <c r="B1177" s="153" t="s">
        <v>517</v>
      </c>
      <c r="C1177" s="163" t="s">
        <v>519</v>
      </c>
      <c r="D1177" s="153" t="s">
        <v>411</v>
      </c>
      <c r="E1177" s="154">
        <v>44530</v>
      </c>
      <c r="F1177" s="155">
        <v>44531</v>
      </c>
      <c r="G1177" s="155">
        <v>44536</v>
      </c>
      <c r="H1177" s="167">
        <v>0.02</v>
      </c>
      <c r="I1177" s="157"/>
      <c r="J1177" s="157"/>
      <c r="K1177" s="157"/>
      <c r="L1177" s="149">
        <f>+K1177-((K1177*0.4282*0.125)+(K1177*(1-0.4282)*0.26))</f>
        <v>0</v>
      </c>
      <c r="M1177" s="149">
        <f t="shared" si="43"/>
        <v>0</v>
      </c>
      <c r="N1177" s="159" t="s">
        <v>251</v>
      </c>
    </row>
    <row r="1178" spans="1:14" ht="23.25" customHeight="1">
      <c r="A1178" s="10"/>
      <c r="B1178" s="153" t="s">
        <v>313</v>
      </c>
      <c r="C1178" s="163" t="s">
        <v>429</v>
      </c>
      <c r="D1178" s="153" t="s">
        <v>411</v>
      </c>
      <c r="E1178" s="154">
        <v>44530</v>
      </c>
      <c r="F1178" s="155">
        <v>44531</v>
      </c>
      <c r="G1178" s="155">
        <v>44536</v>
      </c>
      <c r="H1178" s="167">
        <v>0.01</v>
      </c>
      <c r="I1178" s="157"/>
      <c r="J1178" s="157"/>
      <c r="K1178" s="157"/>
      <c r="L1178" s="149">
        <f>+K1178-((K1178*0.148*0.125)+(K1178*(1-0.148)*0.26))</f>
        <v>0</v>
      </c>
      <c r="M1178" s="149">
        <f t="shared" si="43"/>
        <v>0</v>
      </c>
      <c r="N1178" s="159" t="s">
        <v>251</v>
      </c>
    </row>
    <row r="1179" spans="1:199" ht="23.25" customHeight="1">
      <c r="A1179" s="10"/>
      <c r="B1179" s="153" t="s">
        <v>174</v>
      </c>
      <c r="C1179" s="160" t="s">
        <v>382</v>
      </c>
      <c r="D1179" s="161" t="s">
        <v>410</v>
      </c>
      <c r="E1179" s="154">
        <v>44560</v>
      </c>
      <c r="F1179" s="155">
        <v>44561</v>
      </c>
      <c r="G1179" s="155">
        <v>44566</v>
      </c>
      <c r="H1179" s="167"/>
      <c r="I1179" s="149"/>
      <c r="J1179" s="157"/>
      <c r="K1179" s="157"/>
      <c r="L1179" s="149">
        <f>+K1179-((K1179*0.0055*0.125)+(K1179*(1-0.0055)*0.26))</f>
        <v>0</v>
      </c>
      <c r="M1179" s="149">
        <f t="shared" si="43"/>
        <v>0</v>
      </c>
      <c r="N1179" s="159" t="s">
        <v>247</v>
      </c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  <c r="DN1179" s="6"/>
      <c r="DO1179" s="6"/>
      <c r="DP1179" s="6"/>
      <c r="DQ1179" s="6"/>
      <c r="DR1179" s="6"/>
      <c r="DS1179" s="6"/>
      <c r="DT1179" s="6"/>
      <c r="DU1179" s="6"/>
      <c r="DV1179" s="6"/>
      <c r="DW1179" s="6"/>
      <c r="DX1179" s="6"/>
      <c r="DY1179" s="6"/>
      <c r="DZ1179" s="6"/>
      <c r="EA1179" s="6"/>
      <c r="EB1179" s="6"/>
      <c r="EC1179" s="6"/>
      <c r="ED1179" s="6"/>
      <c r="EE1179" s="6"/>
      <c r="EF1179" s="6"/>
      <c r="EG1179" s="6"/>
      <c r="EH1179" s="6"/>
      <c r="EI1179" s="6"/>
      <c r="EJ1179" s="6"/>
      <c r="EK1179" s="6"/>
      <c r="EL1179" s="6"/>
      <c r="EM1179" s="6"/>
      <c r="EN1179" s="6"/>
      <c r="EO1179" s="6"/>
      <c r="EP1179" s="6"/>
      <c r="EQ1179" s="6"/>
      <c r="ER1179" s="6"/>
      <c r="ES1179" s="6"/>
      <c r="ET1179" s="6"/>
      <c r="EU1179" s="6"/>
      <c r="EV1179" s="6"/>
      <c r="EW1179" s="6"/>
      <c r="EX1179" s="6"/>
      <c r="EY1179" s="6"/>
      <c r="EZ1179" s="6"/>
      <c r="FA1179" s="6"/>
      <c r="FB1179" s="6"/>
      <c r="FC1179" s="6"/>
      <c r="FD1179" s="6"/>
      <c r="FE1179" s="6"/>
      <c r="FF1179" s="6"/>
      <c r="FG1179" s="6"/>
      <c r="FH1179" s="6"/>
      <c r="FI1179" s="6"/>
      <c r="FJ1179" s="6"/>
      <c r="FK1179" s="6"/>
      <c r="FL1179" s="6"/>
      <c r="FM1179" s="6"/>
      <c r="FN1179" s="6"/>
      <c r="FO1179" s="6"/>
      <c r="FP1179" s="6"/>
      <c r="FQ1179" s="6"/>
      <c r="FR1179" s="6"/>
      <c r="FS1179" s="6"/>
      <c r="FT1179" s="6"/>
      <c r="FU1179" s="6"/>
      <c r="FV1179" s="6"/>
      <c r="FW1179" s="6"/>
      <c r="FX1179" s="6"/>
      <c r="FY1179" s="6"/>
      <c r="FZ1179" s="6"/>
      <c r="GA1179" s="6"/>
      <c r="GB1179" s="6"/>
      <c r="GC1179" s="6"/>
      <c r="GD1179" s="6"/>
      <c r="GE1179" s="6"/>
      <c r="GF1179" s="6"/>
      <c r="GG1179" s="6"/>
      <c r="GH1179" s="6"/>
      <c r="GI1179" s="6"/>
      <c r="GJ1179" s="6"/>
      <c r="GK1179" s="6"/>
      <c r="GL1179" s="6"/>
      <c r="GM1179" s="6"/>
      <c r="GN1179" s="6"/>
      <c r="GO1179" s="6"/>
      <c r="GP1179" s="6"/>
      <c r="GQ1179" s="6"/>
    </row>
    <row r="1180" spans="1:199" ht="23.25" customHeight="1">
      <c r="A1180" s="10"/>
      <c r="B1180" s="153" t="s">
        <v>176</v>
      </c>
      <c r="C1180" s="160" t="s">
        <v>397</v>
      </c>
      <c r="D1180" s="161" t="s">
        <v>410</v>
      </c>
      <c r="E1180" s="154">
        <v>44560</v>
      </c>
      <c r="F1180" s="155">
        <v>44561</v>
      </c>
      <c r="G1180" s="155">
        <v>44566</v>
      </c>
      <c r="H1180" s="167"/>
      <c r="I1180" s="149"/>
      <c r="J1180" s="157"/>
      <c r="K1180" s="157"/>
      <c r="L1180" s="149">
        <f>+K1180-((K1180*0.1125*0.125)+(K1180*(1-0.1125)*0.26))</f>
        <v>0</v>
      </c>
      <c r="M1180" s="149">
        <f t="shared" si="43"/>
        <v>0</v>
      </c>
      <c r="N1180" s="159" t="s">
        <v>247</v>
      </c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  <c r="DN1180" s="6"/>
      <c r="DO1180" s="6"/>
      <c r="DP1180" s="6"/>
      <c r="DQ1180" s="6"/>
      <c r="DR1180" s="6"/>
      <c r="DS1180" s="6"/>
      <c r="DT1180" s="6"/>
      <c r="DU1180" s="6"/>
      <c r="DV1180" s="6"/>
      <c r="DW1180" s="6"/>
      <c r="DX1180" s="6"/>
      <c r="DY1180" s="6"/>
      <c r="DZ1180" s="6"/>
      <c r="EA1180" s="6"/>
      <c r="EB1180" s="6"/>
      <c r="EC1180" s="6"/>
      <c r="ED1180" s="6"/>
      <c r="EE1180" s="6"/>
      <c r="EF1180" s="6"/>
      <c r="EG1180" s="6"/>
      <c r="EH1180" s="6"/>
      <c r="EI1180" s="6"/>
      <c r="EJ1180" s="6"/>
      <c r="EK1180" s="6"/>
      <c r="EL1180" s="6"/>
      <c r="EM1180" s="6"/>
      <c r="EN1180" s="6"/>
      <c r="EO1180" s="6"/>
      <c r="EP1180" s="6"/>
      <c r="EQ1180" s="6"/>
      <c r="ER1180" s="6"/>
      <c r="ES1180" s="6"/>
      <c r="ET1180" s="6"/>
      <c r="EU1180" s="6"/>
      <c r="EV1180" s="6"/>
      <c r="EW1180" s="6"/>
      <c r="EX1180" s="6"/>
      <c r="EY1180" s="6"/>
      <c r="EZ1180" s="6"/>
      <c r="FA1180" s="6"/>
      <c r="FB1180" s="6"/>
      <c r="FC1180" s="6"/>
      <c r="FD1180" s="6"/>
      <c r="FE1180" s="6"/>
      <c r="FF1180" s="6"/>
      <c r="FG1180" s="6"/>
      <c r="FH1180" s="6"/>
      <c r="FI1180" s="6"/>
      <c r="FJ1180" s="6"/>
      <c r="FK1180" s="6"/>
      <c r="FL1180" s="6"/>
      <c r="FM1180" s="6"/>
      <c r="FN1180" s="6"/>
      <c r="FO1180" s="6"/>
      <c r="FP1180" s="6"/>
      <c r="FQ1180" s="6"/>
      <c r="FR1180" s="6"/>
      <c r="FS1180" s="6"/>
      <c r="FT1180" s="6"/>
      <c r="FU1180" s="6"/>
      <c r="FV1180" s="6"/>
      <c r="FW1180" s="6"/>
      <c r="FX1180" s="6"/>
      <c r="FY1180" s="6"/>
      <c r="FZ1180" s="6"/>
      <c r="GA1180" s="6"/>
      <c r="GB1180" s="6"/>
      <c r="GC1180" s="6"/>
      <c r="GD1180" s="6"/>
      <c r="GE1180" s="6"/>
      <c r="GF1180" s="6"/>
      <c r="GG1180" s="6"/>
      <c r="GH1180" s="6"/>
      <c r="GI1180" s="6"/>
      <c r="GJ1180" s="6"/>
      <c r="GK1180" s="6"/>
      <c r="GL1180" s="6"/>
      <c r="GM1180" s="6"/>
      <c r="GN1180" s="6"/>
      <c r="GO1180" s="6"/>
      <c r="GP1180" s="42"/>
      <c r="GQ1180" s="42"/>
    </row>
    <row r="1181" spans="1:14" ht="23.25" customHeight="1">
      <c r="A1181" s="10"/>
      <c r="B1181" s="153" t="s">
        <v>175</v>
      </c>
      <c r="C1181" s="160" t="s">
        <v>467</v>
      </c>
      <c r="D1181" s="161" t="s">
        <v>410</v>
      </c>
      <c r="E1181" s="154">
        <v>44560</v>
      </c>
      <c r="F1181" s="155">
        <v>44561</v>
      </c>
      <c r="G1181" s="155">
        <v>44566</v>
      </c>
      <c r="H1181" s="167"/>
      <c r="I1181" s="149"/>
      <c r="J1181" s="157"/>
      <c r="K1181" s="157"/>
      <c r="L1181" s="149">
        <f>+K1181-((K1181*0.1445*0.125)+(K1181*(1-0.1445)*0.26))</f>
        <v>0</v>
      </c>
      <c r="M1181" s="149">
        <f t="shared" si="43"/>
        <v>0</v>
      </c>
      <c r="N1181" s="159" t="s">
        <v>247</v>
      </c>
    </row>
    <row r="1182" spans="1:14" ht="23.25" customHeight="1">
      <c r="A1182" s="10"/>
      <c r="B1182" s="153" t="s">
        <v>298</v>
      </c>
      <c r="C1182" s="163" t="s">
        <v>403</v>
      </c>
      <c r="D1182" s="153" t="s">
        <v>410</v>
      </c>
      <c r="E1182" s="154">
        <v>44561</v>
      </c>
      <c r="F1182" s="155">
        <v>44564</v>
      </c>
      <c r="G1182" s="155">
        <v>44567</v>
      </c>
      <c r="H1182" s="167">
        <v>0.045</v>
      </c>
      <c r="I1182" s="149"/>
      <c r="J1182" s="157"/>
      <c r="K1182" s="157"/>
      <c r="L1182" s="149">
        <f>+K1182-((K1182*0.4448*0.125)+(K1182*(1-0.4448)*0.26))</f>
        <v>0</v>
      </c>
      <c r="M1182" s="149">
        <f t="shared" si="43"/>
        <v>0</v>
      </c>
      <c r="N1182" s="159" t="s">
        <v>248</v>
      </c>
    </row>
    <row r="1183" spans="1:14" ht="23.25" customHeight="1">
      <c r="A1183" s="10"/>
      <c r="B1183" s="153" t="s">
        <v>181</v>
      </c>
      <c r="C1183" s="166" t="s">
        <v>335</v>
      </c>
      <c r="D1183" s="153" t="s">
        <v>410</v>
      </c>
      <c r="E1183" s="154">
        <v>44561</v>
      </c>
      <c r="F1183" s="155">
        <v>44564</v>
      </c>
      <c r="G1183" s="155">
        <v>44567</v>
      </c>
      <c r="H1183" s="167">
        <v>0.045</v>
      </c>
      <c r="I1183" s="149"/>
      <c r="J1183" s="157"/>
      <c r="K1183" s="157"/>
      <c r="L1183" s="149">
        <f>+K1183-((K1183*0.4448*0.125)+(K1183*(1-0.4448)*0.26))</f>
        <v>0</v>
      </c>
      <c r="M1183" s="149">
        <f t="shared" si="43"/>
        <v>0</v>
      </c>
      <c r="N1183" s="159" t="s">
        <v>248</v>
      </c>
    </row>
    <row r="1184" spans="1:14" ht="23.25" customHeight="1">
      <c r="A1184" s="10"/>
      <c r="B1184" s="153" t="s">
        <v>201</v>
      </c>
      <c r="C1184" s="160" t="s">
        <v>336</v>
      </c>
      <c r="D1184" s="153" t="s">
        <v>410</v>
      </c>
      <c r="E1184" s="154">
        <v>44561</v>
      </c>
      <c r="F1184" s="155">
        <v>44564</v>
      </c>
      <c r="G1184" s="155">
        <v>44567</v>
      </c>
      <c r="H1184" s="167">
        <v>0.045</v>
      </c>
      <c r="I1184" s="149"/>
      <c r="J1184" s="157"/>
      <c r="K1184" s="157"/>
      <c r="L1184" s="149">
        <f>+K1184-((K1184*0.4448*0.125)+(K1184*(1-0.4448)*0.26))</f>
        <v>0</v>
      </c>
      <c r="M1184" s="149">
        <f aca="true" t="shared" si="44" ref="M1184:M1215">J1184+L1184</f>
        <v>0</v>
      </c>
      <c r="N1184" s="159" t="s">
        <v>248</v>
      </c>
    </row>
    <row r="1185" spans="1:14" ht="23.25" customHeight="1">
      <c r="A1185" s="10"/>
      <c r="B1185" s="153" t="s">
        <v>138</v>
      </c>
      <c r="C1185" s="163" t="s">
        <v>337</v>
      </c>
      <c r="D1185" s="153" t="s">
        <v>410</v>
      </c>
      <c r="E1185" s="154">
        <v>44561</v>
      </c>
      <c r="F1185" s="155">
        <v>44564</v>
      </c>
      <c r="G1185" s="155">
        <v>44567</v>
      </c>
      <c r="H1185" s="167">
        <v>0.05</v>
      </c>
      <c r="I1185" s="149"/>
      <c r="J1185" s="157"/>
      <c r="K1185" s="157"/>
      <c r="L1185" s="149">
        <f>+K1185-((K1185*0.28008*0.125)+(K1185*(1-0.272)*0.26))</f>
        <v>0</v>
      </c>
      <c r="M1185" s="149">
        <f t="shared" si="44"/>
        <v>0</v>
      </c>
      <c r="N1185" s="159" t="s">
        <v>248</v>
      </c>
    </row>
    <row r="1186" spans="1:14" ht="23.25" customHeight="1">
      <c r="A1186" s="10"/>
      <c r="B1186" s="153" t="s">
        <v>160</v>
      </c>
      <c r="C1186" s="166" t="s">
        <v>338</v>
      </c>
      <c r="D1186" s="153" t="s">
        <v>410</v>
      </c>
      <c r="E1186" s="154">
        <v>44561</v>
      </c>
      <c r="F1186" s="155">
        <v>44564</v>
      </c>
      <c r="G1186" s="155">
        <v>44567</v>
      </c>
      <c r="H1186" s="167">
        <v>0.05</v>
      </c>
      <c r="I1186" s="149"/>
      <c r="J1186" s="157"/>
      <c r="K1186" s="157"/>
      <c r="L1186" s="149">
        <f>+K1186-((K1186*0.28008*0.125)+(K1186*(1-0.272)*0.26))</f>
        <v>0</v>
      </c>
      <c r="M1186" s="149">
        <f t="shared" si="44"/>
        <v>0</v>
      </c>
      <c r="N1186" s="159" t="s">
        <v>248</v>
      </c>
    </row>
    <row r="1187" spans="1:14" ht="23.25" customHeight="1">
      <c r="A1187" s="10"/>
      <c r="B1187" s="153" t="s">
        <v>300</v>
      </c>
      <c r="C1187" s="163" t="s">
        <v>404</v>
      </c>
      <c r="D1187" s="153" t="s">
        <v>410</v>
      </c>
      <c r="E1187" s="154">
        <v>44561</v>
      </c>
      <c r="F1187" s="155">
        <v>44564</v>
      </c>
      <c r="G1187" s="155">
        <v>44567</v>
      </c>
      <c r="H1187" s="167">
        <v>0.05</v>
      </c>
      <c r="I1187" s="149"/>
      <c r="J1187" s="157"/>
      <c r="K1187" s="157"/>
      <c r="L1187" s="149">
        <f>+K1187-((K1187*0.28008*0.125)+(K1187*(1-0.272)*0.26))</f>
        <v>0</v>
      </c>
      <c r="M1187" s="149">
        <f t="shared" si="44"/>
        <v>0</v>
      </c>
      <c r="N1187" s="159" t="s">
        <v>248</v>
      </c>
    </row>
    <row r="1188" spans="1:252" ht="23.25" customHeight="1">
      <c r="A1188" s="10"/>
      <c r="B1188" s="153" t="s">
        <v>310</v>
      </c>
      <c r="C1188" s="163" t="s">
        <v>424</v>
      </c>
      <c r="D1188" s="153" t="s">
        <v>411</v>
      </c>
      <c r="E1188" s="154">
        <v>44561</v>
      </c>
      <c r="F1188" s="155">
        <v>44564</v>
      </c>
      <c r="G1188" s="155">
        <v>44567</v>
      </c>
      <c r="H1188" s="167">
        <v>0.05</v>
      </c>
      <c r="I1188" s="157"/>
      <c r="J1188" s="157"/>
      <c r="K1188" s="157"/>
      <c r="L1188" s="149">
        <f>+K1188-((K1188*0.0367*0.125)+(K1188*(1-0.0367)*0.26))</f>
        <v>0</v>
      </c>
      <c r="M1188" s="149">
        <f t="shared" si="44"/>
        <v>0</v>
      </c>
      <c r="N1188" s="159" t="s">
        <v>251</v>
      </c>
      <c r="IR1188" s="10"/>
    </row>
    <row r="1189" spans="1:252" ht="23.25" customHeight="1">
      <c r="A1189" s="10"/>
      <c r="B1189" s="153" t="s">
        <v>188</v>
      </c>
      <c r="C1189" s="166" t="s">
        <v>339</v>
      </c>
      <c r="D1189" s="153" t="s">
        <v>411</v>
      </c>
      <c r="E1189" s="154">
        <v>44561</v>
      </c>
      <c r="F1189" s="155">
        <v>44564</v>
      </c>
      <c r="G1189" s="155">
        <v>44567</v>
      </c>
      <c r="H1189" s="167">
        <v>0.05</v>
      </c>
      <c r="I1189" s="157"/>
      <c r="J1189" s="157"/>
      <c r="K1189" s="157"/>
      <c r="L1189" s="149">
        <f>+K1189-((K1189*0.0367*0.125)+(K1189*(1-0.0367)*0.26))</f>
        <v>0</v>
      </c>
      <c r="M1189" s="149">
        <f t="shared" si="44"/>
        <v>0</v>
      </c>
      <c r="N1189" s="159" t="s">
        <v>251</v>
      </c>
      <c r="IR1189" s="10"/>
    </row>
    <row r="1190" spans="1:252" ht="23.25" customHeight="1">
      <c r="A1190" s="10"/>
      <c r="B1190" s="153" t="s">
        <v>196</v>
      </c>
      <c r="C1190" s="160" t="s">
        <v>340</v>
      </c>
      <c r="D1190" s="161" t="s">
        <v>411</v>
      </c>
      <c r="E1190" s="154">
        <v>44561</v>
      </c>
      <c r="F1190" s="155">
        <v>44564</v>
      </c>
      <c r="G1190" s="155">
        <v>44567</v>
      </c>
      <c r="H1190" s="167">
        <v>0.05</v>
      </c>
      <c r="I1190" s="157"/>
      <c r="J1190" s="157"/>
      <c r="K1190" s="157"/>
      <c r="L1190" s="149">
        <f>+K1190-((K1190*0.0367*0.125)+(K1190*(1-0.0367)*0.26))</f>
        <v>0</v>
      </c>
      <c r="M1190" s="149">
        <f t="shared" si="44"/>
        <v>0</v>
      </c>
      <c r="N1190" s="159" t="s">
        <v>251</v>
      </c>
      <c r="IR1190" s="10"/>
    </row>
    <row r="1191" spans="1:14" ht="23.25" customHeight="1">
      <c r="A1191" s="10"/>
      <c r="B1191" s="153" t="s">
        <v>142</v>
      </c>
      <c r="C1191" s="163" t="s">
        <v>341</v>
      </c>
      <c r="D1191" s="153" t="s">
        <v>410</v>
      </c>
      <c r="E1191" s="154">
        <v>44561</v>
      </c>
      <c r="F1191" s="155">
        <v>44564</v>
      </c>
      <c r="G1191" s="155">
        <v>44567</v>
      </c>
      <c r="H1191" s="167">
        <v>0.0525</v>
      </c>
      <c r="I1191" s="149"/>
      <c r="J1191" s="157"/>
      <c r="K1191" s="157"/>
      <c r="L1191" s="149">
        <f>+K1191-((K1191*0.0693*0.125)+(K1191*(1-0.0693)*0.26))</f>
        <v>0</v>
      </c>
      <c r="M1191" s="149">
        <f t="shared" si="44"/>
        <v>0</v>
      </c>
      <c r="N1191" s="159" t="s">
        <v>248</v>
      </c>
    </row>
    <row r="1192" spans="1:14" ht="23.25" customHeight="1">
      <c r="A1192" s="10"/>
      <c r="B1192" s="153" t="s">
        <v>159</v>
      </c>
      <c r="C1192" s="166" t="s">
        <v>342</v>
      </c>
      <c r="D1192" s="153" t="s">
        <v>410</v>
      </c>
      <c r="E1192" s="154">
        <v>44561</v>
      </c>
      <c r="F1192" s="155">
        <v>44564</v>
      </c>
      <c r="G1192" s="155">
        <v>44567</v>
      </c>
      <c r="H1192" s="167">
        <v>0.0525</v>
      </c>
      <c r="I1192" s="149"/>
      <c r="J1192" s="157"/>
      <c r="K1192" s="157"/>
      <c r="L1192" s="149">
        <f>+K1192-((K1192*0.0693*0.125)+(K1192*(1-0.0693)*0.26))</f>
        <v>0</v>
      </c>
      <c r="M1192" s="149">
        <f t="shared" si="44"/>
        <v>0</v>
      </c>
      <c r="N1192" s="159" t="s">
        <v>248</v>
      </c>
    </row>
    <row r="1193" spans="1:14" ht="23.25" customHeight="1">
      <c r="A1193" s="10"/>
      <c r="B1193" s="153" t="s">
        <v>510</v>
      </c>
      <c r="C1193" s="166" t="s">
        <v>511</v>
      </c>
      <c r="D1193" s="153" t="s">
        <v>410</v>
      </c>
      <c r="E1193" s="154">
        <v>44561</v>
      </c>
      <c r="F1193" s="155">
        <v>44564</v>
      </c>
      <c r="G1193" s="155">
        <v>44567</v>
      </c>
      <c r="H1193" s="167">
        <v>0.0525</v>
      </c>
      <c r="I1193" s="149"/>
      <c r="J1193" s="157"/>
      <c r="K1193" s="157"/>
      <c r="L1193" s="149">
        <f>+K1193-((K1193*0.0693*0.125)+(K1193*(1-0.0693)*0.26))</f>
        <v>0</v>
      </c>
      <c r="M1193" s="149">
        <f t="shared" si="44"/>
        <v>0</v>
      </c>
      <c r="N1193" s="161" t="s">
        <v>248</v>
      </c>
    </row>
    <row r="1194" spans="1:14" ht="23.25" customHeight="1">
      <c r="A1194" s="10"/>
      <c r="B1194" s="153" t="s">
        <v>139</v>
      </c>
      <c r="C1194" s="163" t="s">
        <v>344</v>
      </c>
      <c r="D1194" s="153" t="s">
        <v>410</v>
      </c>
      <c r="E1194" s="154">
        <v>44561</v>
      </c>
      <c r="F1194" s="155">
        <v>44564</v>
      </c>
      <c r="G1194" s="155">
        <v>44567</v>
      </c>
      <c r="H1194" s="159">
        <v>0.035</v>
      </c>
      <c r="I1194" s="149"/>
      <c r="J1194" s="157"/>
      <c r="K1194" s="157"/>
      <c r="L1194" s="149">
        <f>+K1194-((K1194*0.7506*0.125)+(K1194*(1-0.7506)*0.26))</f>
        <v>0</v>
      </c>
      <c r="M1194" s="149">
        <f t="shared" si="44"/>
        <v>0</v>
      </c>
      <c r="N1194" s="159" t="s">
        <v>248</v>
      </c>
    </row>
    <row r="1195" spans="1:14" ht="23.25" customHeight="1">
      <c r="A1195" s="10"/>
      <c r="B1195" s="153" t="s">
        <v>161</v>
      </c>
      <c r="C1195" s="166" t="s">
        <v>345</v>
      </c>
      <c r="D1195" s="153" t="s">
        <v>410</v>
      </c>
      <c r="E1195" s="154">
        <v>44561</v>
      </c>
      <c r="F1195" s="155">
        <v>44564</v>
      </c>
      <c r="G1195" s="155">
        <v>44567</v>
      </c>
      <c r="H1195" s="159">
        <v>0.035</v>
      </c>
      <c r="I1195" s="149"/>
      <c r="J1195" s="157"/>
      <c r="K1195" s="157"/>
      <c r="L1195" s="149">
        <f>+K1195-((K1195*0.7506*0.125)+(K1195*(1-0.7506)*0.26))</f>
        <v>0</v>
      </c>
      <c r="M1195" s="149">
        <f t="shared" si="44"/>
        <v>0</v>
      </c>
      <c r="N1195" s="159" t="s">
        <v>248</v>
      </c>
    </row>
    <row r="1196" spans="1:14" ht="23.25" customHeight="1">
      <c r="A1196" s="10"/>
      <c r="B1196" s="153" t="s">
        <v>191</v>
      </c>
      <c r="C1196" s="166" t="s">
        <v>346</v>
      </c>
      <c r="D1196" s="153" t="s">
        <v>411</v>
      </c>
      <c r="E1196" s="154">
        <v>44561</v>
      </c>
      <c r="F1196" s="155">
        <v>44564</v>
      </c>
      <c r="G1196" s="155">
        <v>44567</v>
      </c>
      <c r="H1196" s="159">
        <v>0.035</v>
      </c>
      <c r="I1196" s="157"/>
      <c r="J1196" s="157"/>
      <c r="K1196" s="157"/>
      <c r="L1196" s="149">
        <f>+K1196-((K1196*0.7506*0.125)+(K1196*(1-0.7506)*0.26))</f>
        <v>0</v>
      </c>
      <c r="M1196" s="149">
        <f t="shared" si="44"/>
        <v>0</v>
      </c>
      <c r="N1196" s="159" t="s">
        <v>251</v>
      </c>
    </row>
    <row r="1197" spans="1:14" ht="23.25" customHeight="1">
      <c r="A1197" s="10"/>
      <c r="B1197" s="153" t="s">
        <v>199</v>
      </c>
      <c r="C1197" s="160" t="s">
        <v>347</v>
      </c>
      <c r="D1197" s="161" t="s">
        <v>411</v>
      </c>
      <c r="E1197" s="154">
        <v>44561</v>
      </c>
      <c r="F1197" s="155">
        <v>44564</v>
      </c>
      <c r="G1197" s="155">
        <v>44567</v>
      </c>
      <c r="H1197" s="159">
        <v>0.035</v>
      </c>
      <c r="I1197" s="157"/>
      <c r="J1197" s="157"/>
      <c r="K1197" s="157"/>
      <c r="L1197" s="149">
        <f>+K1197-((K1197*0.7506*0.125)+(K1197*(1-0.7506)*0.26))</f>
        <v>0</v>
      </c>
      <c r="M1197" s="149">
        <f t="shared" si="44"/>
        <v>0</v>
      </c>
      <c r="N1197" s="159" t="s">
        <v>251</v>
      </c>
    </row>
    <row r="1198" spans="1:14" ht="23.25" customHeight="1">
      <c r="A1198" s="10"/>
      <c r="B1198" s="153" t="s">
        <v>141</v>
      </c>
      <c r="C1198" s="163" t="s">
        <v>348</v>
      </c>
      <c r="D1198" s="153" t="s">
        <v>410</v>
      </c>
      <c r="E1198" s="154">
        <v>44561</v>
      </c>
      <c r="F1198" s="155">
        <v>44564</v>
      </c>
      <c r="G1198" s="155">
        <v>44567</v>
      </c>
      <c r="H1198" s="167">
        <v>0.0425</v>
      </c>
      <c r="I1198" s="149"/>
      <c r="J1198" s="157"/>
      <c r="K1198" s="157"/>
      <c r="L1198" s="149">
        <f>+K1198-((K1198*0.0703*0.125)+(K1198*(1-0.0703)*0.26))</f>
        <v>0</v>
      </c>
      <c r="M1198" s="149">
        <f t="shared" si="44"/>
        <v>0</v>
      </c>
      <c r="N1198" s="159" t="s">
        <v>248</v>
      </c>
    </row>
    <row r="1199" spans="1:14" ht="23.25" customHeight="1">
      <c r="A1199" s="10"/>
      <c r="B1199" s="153" t="s">
        <v>140</v>
      </c>
      <c r="C1199" s="163" t="s">
        <v>349</v>
      </c>
      <c r="D1199" s="153" t="s">
        <v>410</v>
      </c>
      <c r="E1199" s="154">
        <v>44561</v>
      </c>
      <c r="F1199" s="155">
        <v>44564</v>
      </c>
      <c r="G1199" s="155">
        <v>44567</v>
      </c>
      <c r="H1199" s="167">
        <v>0.0425</v>
      </c>
      <c r="I1199" s="149"/>
      <c r="J1199" s="157"/>
      <c r="K1199" s="157"/>
      <c r="L1199" s="149">
        <f>+K1199-((K1199*0.0703*0.125)+(K1199*(1-0.0703)*0.26))</f>
        <v>0</v>
      </c>
      <c r="M1199" s="149">
        <f t="shared" si="44"/>
        <v>0</v>
      </c>
      <c r="N1199" s="159" t="s">
        <v>248</v>
      </c>
    </row>
    <row r="1200" spans="1:14" ht="23.25" customHeight="1">
      <c r="A1200" s="10"/>
      <c r="B1200" s="153" t="s">
        <v>162</v>
      </c>
      <c r="C1200" s="166" t="s">
        <v>350</v>
      </c>
      <c r="D1200" s="153" t="s">
        <v>410</v>
      </c>
      <c r="E1200" s="154">
        <v>44561</v>
      </c>
      <c r="F1200" s="155">
        <v>44564</v>
      </c>
      <c r="G1200" s="155">
        <v>44567</v>
      </c>
      <c r="H1200" s="167">
        <v>0.0425</v>
      </c>
      <c r="I1200" s="149"/>
      <c r="J1200" s="157"/>
      <c r="K1200" s="157"/>
      <c r="L1200" s="149">
        <f>+K1200-((K1200*0.0703*0.125)+(K1200*(1-0.0703)*0.26))</f>
        <v>0</v>
      </c>
      <c r="M1200" s="149">
        <f t="shared" si="44"/>
        <v>0</v>
      </c>
      <c r="N1200" s="159" t="s">
        <v>248</v>
      </c>
    </row>
    <row r="1201" spans="1:14" ht="23.25" customHeight="1">
      <c r="A1201" s="10"/>
      <c r="B1201" s="153" t="s">
        <v>302</v>
      </c>
      <c r="C1201" s="163" t="s">
        <v>405</v>
      </c>
      <c r="D1201" s="153" t="s">
        <v>410</v>
      </c>
      <c r="E1201" s="154">
        <v>44561</v>
      </c>
      <c r="F1201" s="155">
        <v>44564</v>
      </c>
      <c r="G1201" s="155">
        <v>44567</v>
      </c>
      <c r="H1201" s="167">
        <v>0.0425</v>
      </c>
      <c r="I1201" s="149"/>
      <c r="J1201" s="157"/>
      <c r="K1201" s="157"/>
      <c r="L1201" s="149">
        <f>+K1201-((K1201*0.0703*0.125)+(K1201*(1-0.0703)*0.26))</f>
        <v>0</v>
      </c>
      <c r="M1201" s="149">
        <f t="shared" si="44"/>
        <v>0</v>
      </c>
      <c r="N1201" s="159" t="s">
        <v>248</v>
      </c>
    </row>
    <row r="1202" spans="1:14" ht="23.25" customHeight="1">
      <c r="A1202" s="10"/>
      <c r="B1202" s="153" t="s">
        <v>303</v>
      </c>
      <c r="C1202" s="163" t="s">
        <v>406</v>
      </c>
      <c r="D1202" s="153" t="s">
        <v>410</v>
      </c>
      <c r="E1202" s="154">
        <v>44561</v>
      </c>
      <c r="F1202" s="155">
        <v>44564</v>
      </c>
      <c r="G1202" s="155">
        <v>44567</v>
      </c>
      <c r="H1202" s="167">
        <v>0.0425</v>
      </c>
      <c r="I1202" s="149"/>
      <c r="J1202" s="157"/>
      <c r="K1202" s="157"/>
      <c r="L1202" s="149">
        <f>+K1202-((K1202*0.0703*0.125)+(K1202*(1-0.0703)*0.26))</f>
        <v>0</v>
      </c>
      <c r="M1202" s="149">
        <f t="shared" si="44"/>
        <v>0</v>
      </c>
      <c r="N1202" s="159" t="s">
        <v>248</v>
      </c>
    </row>
    <row r="1203" spans="1:14" ht="23.25" customHeight="1">
      <c r="A1203" s="10"/>
      <c r="B1203" s="153" t="s">
        <v>143</v>
      </c>
      <c r="C1203" s="163" t="s">
        <v>351</v>
      </c>
      <c r="D1203" s="153" t="s">
        <v>410</v>
      </c>
      <c r="E1203" s="154">
        <v>44561</v>
      </c>
      <c r="F1203" s="155">
        <v>44564</v>
      </c>
      <c r="G1203" s="155">
        <v>44567</v>
      </c>
      <c r="H1203" s="167">
        <v>0.004</v>
      </c>
      <c r="I1203" s="149"/>
      <c r="J1203" s="157"/>
      <c r="K1203" s="157"/>
      <c r="L1203" s="149">
        <f>+K1203-((K1203*0.447*0.125)+(K1203*(1-0.447)*0.26))</f>
        <v>0</v>
      </c>
      <c r="M1203" s="149">
        <f t="shared" si="44"/>
        <v>0</v>
      </c>
      <c r="N1203" s="159" t="s">
        <v>248</v>
      </c>
    </row>
    <row r="1204" spans="1:14" ht="23.25" customHeight="1">
      <c r="A1204" s="10"/>
      <c r="B1204" s="153" t="s">
        <v>145</v>
      </c>
      <c r="C1204" s="163" t="s">
        <v>352</v>
      </c>
      <c r="D1204" s="153" t="s">
        <v>410</v>
      </c>
      <c r="E1204" s="154">
        <v>44561</v>
      </c>
      <c r="F1204" s="155">
        <v>44564</v>
      </c>
      <c r="G1204" s="155">
        <v>44567</v>
      </c>
      <c r="H1204" s="167">
        <v>0.0045</v>
      </c>
      <c r="I1204" s="149"/>
      <c r="J1204" s="157"/>
      <c r="K1204" s="157"/>
      <c r="L1204" s="149">
        <f>+K1204-((K1204*0.0019*0.125)+(K1204*(1-0.0019)*0.26))</f>
        <v>0</v>
      </c>
      <c r="M1204" s="149">
        <f t="shared" si="44"/>
        <v>0</v>
      </c>
      <c r="N1204" s="159" t="s">
        <v>248</v>
      </c>
    </row>
    <row r="1205" spans="1:14" ht="23.25" customHeight="1">
      <c r="A1205" s="10"/>
      <c r="B1205" s="153" t="s">
        <v>144</v>
      </c>
      <c r="C1205" s="163" t="s">
        <v>353</v>
      </c>
      <c r="D1205" s="153" t="s">
        <v>410</v>
      </c>
      <c r="E1205" s="154">
        <v>44561</v>
      </c>
      <c r="F1205" s="155">
        <v>44564</v>
      </c>
      <c r="G1205" s="155">
        <v>44567</v>
      </c>
      <c r="H1205" s="167">
        <v>0.002</v>
      </c>
      <c r="I1205" s="149"/>
      <c r="J1205" s="157"/>
      <c r="K1205" s="157"/>
      <c r="L1205" s="149">
        <f>+K1205-((K1205*0.8672*0.125)+(K1205*(1-0.8672)*0.26))</f>
        <v>0</v>
      </c>
      <c r="M1205" s="149">
        <f t="shared" si="44"/>
        <v>0</v>
      </c>
      <c r="N1205" s="159" t="s">
        <v>248</v>
      </c>
    </row>
    <row r="1206" spans="1:14" ht="23.25" customHeight="1">
      <c r="A1206" s="10"/>
      <c r="B1206" s="153" t="s">
        <v>306</v>
      </c>
      <c r="C1206" s="163" t="s">
        <v>430</v>
      </c>
      <c r="D1206" s="153" t="s">
        <v>411</v>
      </c>
      <c r="E1206" s="154">
        <v>44561</v>
      </c>
      <c r="F1206" s="155">
        <v>44564</v>
      </c>
      <c r="G1206" s="155">
        <v>44567</v>
      </c>
      <c r="H1206" s="167">
        <v>0.025</v>
      </c>
      <c r="I1206" s="157"/>
      <c r="J1206" s="157"/>
      <c r="K1206" s="157"/>
      <c r="L1206" s="149">
        <f>+K1206-((K1206*0.0002*0.125)+(K1206*(1-0.0002)*0.26))</f>
        <v>0</v>
      </c>
      <c r="M1206" s="149">
        <f t="shared" si="44"/>
        <v>0</v>
      </c>
      <c r="N1206" s="159" t="s">
        <v>251</v>
      </c>
    </row>
    <row r="1207" spans="1:14" ht="23.25" customHeight="1">
      <c r="A1207" s="10"/>
      <c r="B1207" s="153" t="s">
        <v>184</v>
      </c>
      <c r="C1207" s="166" t="s">
        <v>354</v>
      </c>
      <c r="D1207" s="153" t="s">
        <v>411</v>
      </c>
      <c r="E1207" s="154">
        <v>44561</v>
      </c>
      <c r="F1207" s="155">
        <v>44564</v>
      </c>
      <c r="G1207" s="155">
        <v>44567</v>
      </c>
      <c r="H1207" s="167">
        <v>0.025</v>
      </c>
      <c r="I1207" s="157"/>
      <c r="J1207" s="157"/>
      <c r="K1207" s="157"/>
      <c r="L1207" s="149">
        <f>+K1207-((K1207*0.0002*0.125)+(K1207*(1-0.0002)*0.26))</f>
        <v>0</v>
      </c>
      <c r="M1207" s="149">
        <f t="shared" si="44"/>
        <v>0</v>
      </c>
      <c r="N1207" s="159" t="s">
        <v>251</v>
      </c>
    </row>
    <row r="1208" spans="1:14" ht="23.25" customHeight="1">
      <c r="A1208" s="10"/>
      <c r="B1208" s="153" t="s">
        <v>192</v>
      </c>
      <c r="C1208" s="160" t="s">
        <v>355</v>
      </c>
      <c r="D1208" s="161" t="s">
        <v>411</v>
      </c>
      <c r="E1208" s="154">
        <v>44561</v>
      </c>
      <c r="F1208" s="155">
        <v>44564</v>
      </c>
      <c r="G1208" s="155">
        <v>44567</v>
      </c>
      <c r="H1208" s="167">
        <v>0.025</v>
      </c>
      <c r="I1208" s="157"/>
      <c r="J1208" s="157"/>
      <c r="K1208" s="157"/>
      <c r="L1208" s="149">
        <f>+K1208-((K1208*0.0002*0.125)+(K1208*(1-0.0002)*0.26))</f>
        <v>0</v>
      </c>
      <c r="M1208" s="149">
        <f t="shared" si="44"/>
        <v>0</v>
      </c>
      <c r="N1208" s="159" t="s">
        <v>251</v>
      </c>
    </row>
    <row r="1209" spans="1:14" ht="23.25" customHeight="1">
      <c r="A1209" s="10"/>
      <c r="B1209" s="153" t="s">
        <v>311</v>
      </c>
      <c r="C1209" s="163" t="s">
        <v>425</v>
      </c>
      <c r="D1209" s="153" t="s">
        <v>411</v>
      </c>
      <c r="E1209" s="154">
        <v>44561</v>
      </c>
      <c r="F1209" s="155">
        <v>44564</v>
      </c>
      <c r="G1209" s="155">
        <v>44567</v>
      </c>
      <c r="H1209" s="167">
        <v>0.015</v>
      </c>
      <c r="I1209" s="157"/>
      <c r="J1209" s="157"/>
      <c r="K1209" s="157"/>
      <c r="L1209" s="149">
        <f>+K1209-((K1209*0.0000001*0.125)+(K1209*(1-0.0000001)*0.26))</f>
        <v>0</v>
      </c>
      <c r="M1209" s="149">
        <f t="shared" si="44"/>
        <v>0</v>
      </c>
      <c r="N1209" s="159" t="s">
        <v>251</v>
      </c>
    </row>
    <row r="1210" spans="1:14" ht="23.25" customHeight="1">
      <c r="A1210" s="10"/>
      <c r="B1210" s="153" t="s">
        <v>189</v>
      </c>
      <c r="C1210" s="166" t="s">
        <v>356</v>
      </c>
      <c r="D1210" s="153" t="s">
        <v>411</v>
      </c>
      <c r="E1210" s="154">
        <v>44561</v>
      </c>
      <c r="F1210" s="155">
        <v>44564</v>
      </c>
      <c r="G1210" s="155">
        <v>44567</v>
      </c>
      <c r="H1210" s="167">
        <v>0.015</v>
      </c>
      <c r="I1210" s="157"/>
      <c r="J1210" s="157"/>
      <c r="K1210" s="157"/>
      <c r="L1210" s="149">
        <f>+K1210-((K1210*0.0000001*0.125)+(K1210*(1-0.0000001)*0.26))</f>
        <v>0</v>
      </c>
      <c r="M1210" s="149">
        <f t="shared" si="44"/>
        <v>0</v>
      </c>
      <c r="N1210" s="159" t="s">
        <v>251</v>
      </c>
    </row>
    <row r="1211" spans="1:14" ht="23.25" customHeight="1">
      <c r="A1211" s="10"/>
      <c r="B1211" s="153" t="s">
        <v>197</v>
      </c>
      <c r="C1211" s="160" t="s">
        <v>357</v>
      </c>
      <c r="D1211" s="161" t="s">
        <v>411</v>
      </c>
      <c r="E1211" s="154">
        <v>44561</v>
      </c>
      <c r="F1211" s="155">
        <v>44564</v>
      </c>
      <c r="G1211" s="155">
        <v>44567</v>
      </c>
      <c r="H1211" s="167">
        <v>0.015</v>
      </c>
      <c r="I1211" s="157"/>
      <c r="J1211" s="157"/>
      <c r="K1211" s="157"/>
      <c r="L1211" s="149">
        <f>+K1211-((K1211*0.0000001*0.125)+(K1211*(1-0.0000001)*0.26))</f>
        <v>0</v>
      </c>
      <c r="M1211" s="149">
        <f t="shared" si="44"/>
        <v>0</v>
      </c>
      <c r="N1211" s="159" t="s">
        <v>251</v>
      </c>
    </row>
    <row r="1212" spans="1:14" ht="23.25" customHeight="1">
      <c r="A1212" s="10"/>
      <c r="B1212" s="153" t="s">
        <v>148</v>
      </c>
      <c r="C1212" s="163" t="s">
        <v>362</v>
      </c>
      <c r="D1212" s="153" t="s">
        <v>410</v>
      </c>
      <c r="E1212" s="154">
        <v>44561</v>
      </c>
      <c r="F1212" s="155">
        <v>44564</v>
      </c>
      <c r="G1212" s="155">
        <v>44567</v>
      </c>
      <c r="H1212" s="167">
        <v>0.015</v>
      </c>
      <c r="I1212" s="149"/>
      <c r="J1212" s="157"/>
      <c r="K1212" s="157"/>
      <c r="L1212" s="149">
        <f>+K1212-((K1212*0.4234*0.125)+(K1212*(1-0.4234)*0.26))</f>
        <v>0</v>
      </c>
      <c r="M1212" s="149">
        <f t="shared" si="44"/>
        <v>0</v>
      </c>
      <c r="N1212" s="159" t="s">
        <v>248</v>
      </c>
    </row>
    <row r="1213" spans="1:14" ht="23.25" customHeight="1">
      <c r="A1213" s="10"/>
      <c r="B1213" s="153" t="s">
        <v>308</v>
      </c>
      <c r="C1213" s="163" t="s">
        <v>426</v>
      </c>
      <c r="D1213" s="153" t="s">
        <v>411</v>
      </c>
      <c r="E1213" s="154">
        <v>44561</v>
      </c>
      <c r="F1213" s="155">
        <v>44564</v>
      </c>
      <c r="G1213" s="155">
        <v>44567</v>
      </c>
      <c r="H1213" s="167">
        <v>0.015</v>
      </c>
      <c r="I1213" s="157"/>
      <c r="J1213" s="157"/>
      <c r="K1213" s="157"/>
      <c r="L1213" s="149">
        <f>+K1213-((K1213*0.4234*0.125)+(K1213*(1-0.4234)*0.26))</f>
        <v>0</v>
      </c>
      <c r="M1213" s="149">
        <f t="shared" si="44"/>
        <v>0</v>
      </c>
      <c r="N1213" s="159" t="s">
        <v>251</v>
      </c>
    </row>
    <row r="1214" spans="1:14" ht="23.25" customHeight="1">
      <c r="A1214" s="10"/>
      <c r="B1214" s="153" t="s">
        <v>186</v>
      </c>
      <c r="C1214" s="166" t="s">
        <v>363</v>
      </c>
      <c r="D1214" s="153" t="s">
        <v>411</v>
      </c>
      <c r="E1214" s="154">
        <v>44561</v>
      </c>
      <c r="F1214" s="155">
        <v>44564</v>
      </c>
      <c r="G1214" s="155">
        <v>44567</v>
      </c>
      <c r="H1214" s="167">
        <v>0.015</v>
      </c>
      <c r="I1214" s="157"/>
      <c r="J1214" s="157"/>
      <c r="K1214" s="157"/>
      <c r="L1214" s="149">
        <f>+K1214-((K1214*0.4234*0.125)+(K1214*(1-0.4234)*0.26))</f>
        <v>0</v>
      </c>
      <c r="M1214" s="149">
        <f t="shared" si="44"/>
        <v>0</v>
      </c>
      <c r="N1214" s="159" t="s">
        <v>251</v>
      </c>
    </row>
    <row r="1215" spans="1:14" ht="23.25" customHeight="1">
      <c r="A1215" s="10"/>
      <c r="B1215" s="153" t="s">
        <v>194</v>
      </c>
      <c r="C1215" s="160" t="s">
        <v>364</v>
      </c>
      <c r="D1215" s="161" t="s">
        <v>411</v>
      </c>
      <c r="E1215" s="154">
        <v>44561</v>
      </c>
      <c r="F1215" s="155">
        <v>44564</v>
      </c>
      <c r="G1215" s="155">
        <v>44567</v>
      </c>
      <c r="H1215" s="167">
        <v>0.015</v>
      </c>
      <c r="I1215" s="157"/>
      <c r="J1215" s="157"/>
      <c r="K1215" s="157"/>
      <c r="L1215" s="149">
        <f>+K1215-((K1215*0.4234*0.125)+(K1215*(1-0.4234)*0.26))</f>
        <v>0</v>
      </c>
      <c r="M1215" s="149">
        <f t="shared" si="44"/>
        <v>0</v>
      </c>
      <c r="N1215" s="159" t="s">
        <v>251</v>
      </c>
    </row>
    <row r="1216" spans="1:14" ht="23.25" customHeight="1">
      <c r="A1216" s="10"/>
      <c r="B1216" s="153" t="s">
        <v>200</v>
      </c>
      <c r="C1216" s="160" t="s">
        <v>365</v>
      </c>
      <c r="D1216" s="153" t="s">
        <v>410</v>
      </c>
      <c r="E1216" s="154">
        <v>44561</v>
      </c>
      <c r="F1216" s="155">
        <v>44564</v>
      </c>
      <c r="G1216" s="155">
        <v>44567</v>
      </c>
      <c r="H1216" s="167">
        <v>0.015</v>
      </c>
      <c r="I1216" s="149"/>
      <c r="J1216" s="157"/>
      <c r="K1216" s="157"/>
      <c r="L1216" s="149">
        <f>+K1216-((K1216*0.4234*0.125)+(K1216*(1-0.4234)*0.26))</f>
        <v>0</v>
      </c>
      <c r="M1216" s="149">
        <f aca="true" t="shared" si="45" ref="M1216:M1247">J1216+L1216</f>
        <v>0</v>
      </c>
      <c r="N1216" s="159" t="s">
        <v>248</v>
      </c>
    </row>
    <row r="1217" spans="1:14" ht="23.25" customHeight="1">
      <c r="A1217" s="10"/>
      <c r="B1217" s="153" t="s">
        <v>307</v>
      </c>
      <c r="C1217" s="163" t="s">
        <v>420</v>
      </c>
      <c r="D1217" s="153" t="s">
        <v>411</v>
      </c>
      <c r="E1217" s="154">
        <v>44561</v>
      </c>
      <c r="F1217" s="155">
        <v>44564</v>
      </c>
      <c r="G1217" s="155">
        <v>44567</v>
      </c>
      <c r="H1217" s="167">
        <v>0.015</v>
      </c>
      <c r="I1217" s="157"/>
      <c r="J1217" s="157"/>
      <c r="K1217" s="157"/>
      <c r="L1217" s="149">
        <f>+K1217-((K1217*0.5961*0.125)+(K1217*(1-0.5961)*0.26))</f>
        <v>0</v>
      </c>
      <c r="M1217" s="149">
        <f t="shared" si="45"/>
        <v>0</v>
      </c>
      <c r="N1217" s="159" t="s">
        <v>251</v>
      </c>
    </row>
    <row r="1218" spans="1:14" ht="23.25" customHeight="1">
      <c r="A1218" s="10"/>
      <c r="B1218" s="153" t="s">
        <v>185</v>
      </c>
      <c r="C1218" s="166" t="s">
        <v>366</v>
      </c>
      <c r="D1218" s="153" t="s">
        <v>411</v>
      </c>
      <c r="E1218" s="154">
        <v>44561</v>
      </c>
      <c r="F1218" s="155">
        <v>44564</v>
      </c>
      <c r="G1218" s="155">
        <v>44567</v>
      </c>
      <c r="H1218" s="167">
        <v>0.015</v>
      </c>
      <c r="I1218" s="157"/>
      <c r="J1218" s="157"/>
      <c r="K1218" s="157"/>
      <c r="L1218" s="149">
        <f>+K1218-((K1218*0.5961*0.125)+(K1218*(1-0.5961)*0.26))</f>
        <v>0</v>
      </c>
      <c r="M1218" s="149">
        <f t="shared" si="45"/>
        <v>0</v>
      </c>
      <c r="N1218" s="159" t="s">
        <v>251</v>
      </c>
    </row>
    <row r="1219" spans="1:14" ht="23.25" customHeight="1">
      <c r="A1219" s="10"/>
      <c r="B1219" s="153" t="s">
        <v>193</v>
      </c>
      <c r="C1219" s="160" t="s">
        <v>367</v>
      </c>
      <c r="D1219" s="161" t="s">
        <v>411</v>
      </c>
      <c r="E1219" s="154">
        <v>44561</v>
      </c>
      <c r="F1219" s="155">
        <v>44564</v>
      </c>
      <c r="G1219" s="155">
        <v>44567</v>
      </c>
      <c r="H1219" s="167">
        <v>0.015</v>
      </c>
      <c r="I1219" s="157"/>
      <c r="J1219" s="157"/>
      <c r="K1219" s="157"/>
      <c r="L1219" s="149">
        <f>+K1219-((K1219*0.5961*0.125)+(K1219*(1-0.5961)*0.26))</f>
        <v>0</v>
      </c>
      <c r="M1219" s="149">
        <f t="shared" si="45"/>
        <v>0</v>
      </c>
      <c r="N1219" s="159" t="s">
        <v>251</v>
      </c>
    </row>
    <row r="1220" spans="1:14" ht="23.25" customHeight="1">
      <c r="A1220" s="10"/>
      <c r="B1220" s="153" t="s">
        <v>309</v>
      </c>
      <c r="C1220" s="163" t="s">
        <v>427</v>
      </c>
      <c r="D1220" s="153" t="s">
        <v>411</v>
      </c>
      <c r="E1220" s="154">
        <v>44561</v>
      </c>
      <c r="F1220" s="155">
        <v>44564</v>
      </c>
      <c r="G1220" s="155">
        <v>44567</v>
      </c>
      <c r="H1220" s="167">
        <v>0.015</v>
      </c>
      <c r="I1220" s="157"/>
      <c r="J1220" s="157"/>
      <c r="K1220" s="157"/>
      <c r="L1220" s="149">
        <f>+K1220-((K1220*0.0215*0.125)+(K1220*(1-0.0215)*0.26))</f>
        <v>0</v>
      </c>
      <c r="M1220" s="149">
        <f t="shared" si="45"/>
        <v>0</v>
      </c>
      <c r="N1220" s="159" t="s">
        <v>251</v>
      </c>
    </row>
    <row r="1221" spans="1:14" ht="23.25" customHeight="1">
      <c r="A1221" s="10"/>
      <c r="B1221" s="153" t="s">
        <v>187</v>
      </c>
      <c r="C1221" s="166" t="s">
        <v>368</v>
      </c>
      <c r="D1221" s="153" t="s">
        <v>411</v>
      </c>
      <c r="E1221" s="154">
        <v>44561</v>
      </c>
      <c r="F1221" s="155">
        <v>44564</v>
      </c>
      <c r="G1221" s="155">
        <v>44567</v>
      </c>
      <c r="H1221" s="167">
        <v>0.015</v>
      </c>
      <c r="I1221" s="157"/>
      <c r="J1221" s="157"/>
      <c r="K1221" s="157"/>
      <c r="L1221" s="149">
        <f>+K1221-((K1221*0.0215*0.125)+(K1221*(1-0.0215)*0.26))</f>
        <v>0</v>
      </c>
      <c r="M1221" s="149">
        <f t="shared" si="45"/>
        <v>0</v>
      </c>
      <c r="N1221" s="159" t="s">
        <v>251</v>
      </c>
    </row>
    <row r="1222" spans="1:14" ht="23.25" customHeight="1">
      <c r="A1222" s="10"/>
      <c r="B1222" s="153" t="s">
        <v>195</v>
      </c>
      <c r="C1222" s="160" t="s">
        <v>369</v>
      </c>
      <c r="D1222" s="161" t="s">
        <v>411</v>
      </c>
      <c r="E1222" s="154">
        <v>44561</v>
      </c>
      <c r="F1222" s="155">
        <v>44564</v>
      </c>
      <c r="G1222" s="155">
        <v>44567</v>
      </c>
      <c r="H1222" s="167">
        <v>0.015</v>
      </c>
      <c r="I1222" s="157"/>
      <c r="J1222" s="157"/>
      <c r="K1222" s="157"/>
      <c r="L1222" s="149">
        <f>+K1222-((K1222*0.0215*0.125)+(K1222*(1-0.0215)*0.26))</f>
        <v>0</v>
      </c>
      <c r="M1222" s="149">
        <f t="shared" si="45"/>
        <v>0</v>
      </c>
      <c r="N1222" s="159" t="s">
        <v>251</v>
      </c>
    </row>
    <row r="1223" spans="1:14" ht="23.25" customHeight="1">
      <c r="A1223" s="10"/>
      <c r="B1223" s="153" t="s">
        <v>312</v>
      </c>
      <c r="C1223" s="163" t="s">
        <v>428</v>
      </c>
      <c r="D1223" s="153" t="s">
        <v>411</v>
      </c>
      <c r="E1223" s="154">
        <v>44561</v>
      </c>
      <c r="F1223" s="155">
        <v>44564</v>
      </c>
      <c r="G1223" s="155">
        <v>44567</v>
      </c>
      <c r="H1223" s="167">
        <v>0.035</v>
      </c>
      <c r="I1223" s="157"/>
      <c r="J1223" s="157"/>
      <c r="K1223" s="157"/>
      <c r="L1223" s="149">
        <f>+K1223-((K1223*0.000000000001*0.125)+(K1223*(1-0.00000000001)*0.26))</f>
        <v>0</v>
      </c>
      <c r="M1223" s="149">
        <f t="shared" si="45"/>
        <v>0</v>
      </c>
      <c r="N1223" s="159" t="s">
        <v>251</v>
      </c>
    </row>
    <row r="1224" spans="1:14" ht="23.25" customHeight="1">
      <c r="A1224" s="10"/>
      <c r="B1224" s="153" t="s">
        <v>190</v>
      </c>
      <c r="C1224" s="166" t="s">
        <v>370</v>
      </c>
      <c r="D1224" s="153" t="s">
        <v>411</v>
      </c>
      <c r="E1224" s="154">
        <v>44561</v>
      </c>
      <c r="F1224" s="155">
        <v>44564</v>
      </c>
      <c r="G1224" s="155">
        <v>44567</v>
      </c>
      <c r="H1224" s="167">
        <v>0.035</v>
      </c>
      <c r="I1224" s="157"/>
      <c r="J1224" s="157"/>
      <c r="K1224" s="157"/>
      <c r="L1224" s="149">
        <f>+K1224-((K1224*0.000000000001*0.125)+(K1224*(1-0.00000000001)*0.26))</f>
        <v>0</v>
      </c>
      <c r="M1224" s="149">
        <f t="shared" si="45"/>
        <v>0</v>
      </c>
      <c r="N1224" s="159" t="s">
        <v>251</v>
      </c>
    </row>
    <row r="1225" spans="1:14" ht="23.25" customHeight="1">
      <c r="A1225" s="10"/>
      <c r="B1225" s="153" t="s">
        <v>198</v>
      </c>
      <c r="C1225" s="160" t="s">
        <v>371</v>
      </c>
      <c r="D1225" s="161" t="s">
        <v>411</v>
      </c>
      <c r="E1225" s="154">
        <v>44561</v>
      </c>
      <c r="F1225" s="155">
        <v>44564</v>
      </c>
      <c r="G1225" s="155">
        <v>44567</v>
      </c>
      <c r="H1225" s="167">
        <v>0.035</v>
      </c>
      <c r="I1225" s="157"/>
      <c r="J1225" s="157"/>
      <c r="K1225" s="157"/>
      <c r="L1225" s="149">
        <f>+K1225-((K1225*0.000000000001*0.125)+(K1225*(1-0.00000000001)*0.26))</f>
        <v>0</v>
      </c>
      <c r="M1225" s="149">
        <f t="shared" si="45"/>
        <v>0</v>
      </c>
      <c r="N1225" s="159" t="s">
        <v>251</v>
      </c>
    </row>
    <row r="1226" spans="1:14" ht="23.25" customHeight="1">
      <c r="A1226" s="10"/>
      <c r="B1226" s="153" t="s">
        <v>516</v>
      </c>
      <c r="C1226" s="163" t="s">
        <v>518</v>
      </c>
      <c r="D1226" s="153" t="s">
        <v>411</v>
      </c>
      <c r="E1226" s="154">
        <v>44561</v>
      </c>
      <c r="F1226" s="155">
        <v>44564</v>
      </c>
      <c r="G1226" s="155">
        <v>44567</v>
      </c>
      <c r="H1226" s="167">
        <v>0.02</v>
      </c>
      <c r="I1226" s="157"/>
      <c r="J1226" s="157"/>
      <c r="K1226" s="157"/>
      <c r="L1226" s="149">
        <f>+K1226-((K1226*0.4282*0.125)+(K1226*(1-0.4282)*0.26))</f>
        <v>0</v>
      </c>
      <c r="M1226" s="149">
        <f t="shared" si="45"/>
        <v>0</v>
      </c>
      <c r="N1226" s="159" t="s">
        <v>251</v>
      </c>
    </row>
    <row r="1227" spans="1:14" ht="23.25" customHeight="1">
      <c r="A1227" s="10"/>
      <c r="B1227" s="153" t="s">
        <v>517</v>
      </c>
      <c r="C1227" s="163" t="s">
        <v>519</v>
      </c>
      <c r="D1227" s="153" t="s">
        <v>411</v>
      </c>
      <c r="E1227" s="154">
        <v>44561</v>
      </c>
      <c r="F1227" s="155">
        <v>44564</v>
      </c>
      <c r="G1227" s="155">
        <v>44567</v>
      </c>
      <c r="H1227" s="167">
        <v>0.02</v>
      </c>
      <c r="I1227" s="157"/>
      <c r="J1227" s="157"/>
      <c r="K1227" s="157"/>
      <c r="L1227" s="149">
        <f>+K1227-((K1227*0.4282*0.125)+(K1227*(1-0.4282)*0.26))</f>
        <v>0</v>
      </c>
      <c r="M1227" s="149">
        <f t="shared" si="45"/>
        <v>0</v>
      </c>
      <c r="N1227" s="159" t="s">
        <v>251</v>
      </c>
    </row>
    <row r="1228" spans="1:14" ht="23.25" customHeight="1">
      <c r="A1228" s="10"/>
      <c r="B1228" s="153" t="s">
        <v>173</v>
      </c>
      <c r="C1228" s="160" t="s">
        <v>372</v>
      </c>
      <c r="D1228" s="153" t="s">
        <v>410</v>
      </c>
      <c r="E1228" s="154">
        <v>44561</v>
      </c>
      <c r="F1228" s="155">
        <v>44564</v>
      </c>
      <c r="G1228" s="155">
        <v>44567</v>
      </c>
      <c r="H1228" s="167">
        <v>0.01</v>
      </c>
      <c r="I1228" s="149"/>
      <c r="J1228" s="157"/>
      <c r="K1228" s="157"/>
      <c r="L1228" s="149">
        <f>+K1228-((K1228*0.2893*0.125)+(K1228*(1-0.2893)*0.26))</f>
        <v>0</v>
      </c>
      <c r="M1228" s="149">
        <f t="shared" si="45"/>
        <v>0</v>
      </c>
      <c r="N1228" s="159" t="s">
        <v>248</v>
      </c>
    </row>
    <row r="1229" spans="1:14" ht="23.25" customHeight="1">
      <c r="A1229" s="10"/>
      <c r="B1229" s="153" t="s">
        <v>150</v>
      </c>
      <c r="C1229" s="163" t="s">
        <v>377</v>
      </c>
      <c r="D1229" s="153" t="s">
        <v>410</v>
      </c>
      <c r="E1229" s="154">
        <v>44561</v>
      </c>
      <c r="F1229" s="155">
        <v>44564</v>
      </c>
      <c r="G1229" s="155">
        <v>44567</v>
      </c>
      <c r="H1229" s="167">
        <v>0.025</v>
      </c>
      <c r="I1229" s="149"/>
      <c r="J1229" s="157"/>
      <c r="K1229" s="157"/>
      <c r="L1229" s="149">
        <f>+K1229-((K1229*0.0024*0.125)+(K1229*(1-0.0024)*0.26))</f>
        <v>0</v>
      </c>
      <c r="M1229" s="149">
        <f t="shared" si="45"/>
        <v>0</v>
      </c>
      <c r="N1229" s="159" t="s">
        <v>248</v>
      </c>
    </row>
    <row r="1230" spans="1:14" ht="23.25" customHeight="1">
      <c r="A1230" s="10"/>
      <c r="B1230" s="153" t="s">
        <v>513</v>
      </c>
      <c r="C1230" s="163" t="s">
        <v>512</v>
      </c>
      <c r="D1230" s="153" t="s">
        <v>410</v>
      </c>
      <c r="E1230" s="154">
        <v>44561</v>
      </c>
      <c r="F1230" s="155">
        <v>44564</v>
      </c>
      <c r="G1230" s="155">
        <v>44567</v>
      </c>
      <c r="H1230" s="167">
        <v>0.025</v>
      </c>
      <c r="I1230" s="149"/>
      <c r="J1230" s="157"/>
      <c r="K1230" s="157"/>
      <c r="L1230" s="149">
        <f>+K1230-((K1230*0.0024*0.125)+(K1230*(1-0.0024)*0.26))</f>
        <v>0</v>
      </c>
      <c r="M1230" s="149">
        <f t="shared" si="45"/>
        <v>0</v>
      </c>
      <c r="N1230" s="159" t="s">
        <v>248</v>
      </c>
    </row>
    <row r="1231" spans="1:14" ht="23.25" customHeight="1">
      <c r="A1231" s="10"/>
      <c r="B1231" s="153" t="s">
        <v>441</v>
      </c>
      <c r="C1231" s="163" t="s">
        <v>444</v>
      </c>
      <c r="D1231" s="153" t="s">
        <v>410</v>
      </c>
      <c r="E1231" s="154">
        <v>44561</v>
      </c>
      <c r="F1231" s="155">
        <v>44564</v>
      </c>
      <c r="G1231" s="155">
        <v>44567</v>
      </c>
      <c r="H1231" s="167">
        <v>0.0075</v>
      </c>
      <c r="I1231" s="149"/>
      <c r="J1231" s="157"/>
      <c r="K1231" s="157"/>
      <c r="L1231" s="149">
        <f>+K1231-((K1231*0.3946*0.125)+(K1231*(1-0.3946)*0.26))</f>
        <v>0</v>
      </c>
      <c r="M1231" s="149">
        <f t="shared" si="45"/>
        <v>0</v>
      </c>
      <c r="N1231" s="159" t="s">
        <v>248</v>
      </c>
    </row>
    <row r="1232" spans="1:14" ht="23.25" customHeight="1">
      <c r="A1232" s="10"/>
      <c r="B1232" s="153" t="s">
        <v>440</v>
      </c>
      <c r="C1232" s="163" t="s">
        <v>443</v>
      </c>
      <c r="D1232" s="153" t="s">
        <v>410</v>
      </c>
      <c r="E1232" s="154">
        <v>44561</v>
      </c>
      <c r="F1232" s="155">
        <v>44564</v>
      </c>
      <c r="G1232" s="155">
        <v>44567</v>
      </c>
      <c r="H1232" s="167">
        <v>0.0075</v>
      </c>
      <c r="I1232" s="149"/>
      <c r="J1232" s="157"/>
      <c r="K1232" s="157"/>
      <c r="L1232" s="149">
        <f>+K1232-((K1232*0.3946*0.125)+(K1232*(1-0.3946)*0.26))</f>
        <v>0</v>
      </c>
      <c r="M1232" s="149">
        <f t="shared" si="45"/>
        <v>0</v>
      </c>
      <c r="N1232" s="159" t="s">
        <v>248</v>
      </c>
    </row>
    <row r="1233" spans="1:14" ht="23.25" customHeight="1">
      <c r="A1233" s="10"/>
      <c r="B1233" s="153" t="s">
        <v>299</v>
      </c>
      <c r="C1233" s="163" t="s">
        <v>520</v>
      </c>
      <c r="D1233" s="153" t="s">
        <v>410</v>
      </c>
      <c r="E1233" s="154">
        <v>44561</v>
      </c>
      <c r="F1233" s="155">
        <v>44564</v>
      </c>
      <c r="G1233" s="155">
        <v>44567</v>
      </c>
      <c r="H1233" s="167">
        <v>0.012</v>
      </c>
      <c r="I1233" s="149"/>
      <c r="J1233" s="157"/>
      <c r="K1233" s="157"/>
      <c r="L1233" s="149">
        <f>+K1233-((K1233*0.3226*0.125)+(K1233*(1-0.3226)*0.26))</f>
        <v>0</v>
      </c>
      <c r="M1233" s="149">
        <f t="shared" si="45"/>
        <v>0</v>
      </c>
      <c r="N1233" s="159" t="s">
        <v>248</v>
      </c>
    </row>
    <row r="1234" spans="1:14" ht="23.25" customHeight="1">
      <c r="A1234" s="10"/>
      <c r="B1234" s="153" t="s">
        <v>182</v>
      </c>
      <c r="C1234" s="166" t="s">
        <v>479</v>
      </c>
      <c r="D1234" s="153" t="s">
        <v>410</v>
      </c>
      <c r="E1234" s="154">
        <v>44561</v>
      </c>
      <c r="F1234" s="155">
        <v>44564</v>
      </c>
      <c r="G1234" s="155">
        <v>44567</v>
      </c>
      <c r="H1234" s="167">
        <v>0.012</v>
      </c>
      <c r="I1234" s="149"/>
      <c r="J1234" s="157"/>
      <c r="K1234" s="157"/>
      <c r="L1234" s="149">
        <f>+K1234-((K1234*0.3226*0.125)+(K1234*(1-0.3226)*0.26))</f>
        <v>0</v>
      </c>
      <c r="M1234" s="149">
        <f t="shared" si="45"/>
        <v>0</v>
      </c>
      <c r="N1234" s="159" t="s">
        <v>248</v>
      </c>
    </row>
    <row r="1235" spans="2:14" ht="23.25" customHeight="1">
      <c r="B1235" s="153" t="s">
        <v>202</v>
      </c>
      <c r="C1235" s="160" t="s">
        <v>480</v>
      </c>
      <c r="D1235" s="153" t="s">
        <v>410</v>
      </c>
      <c r="E1235" s="154">
        <v>44561</v>
      </c>
      <c r="F1235" s="155">
        <v>44564</v>
      </c>
      <c r="G1235" s="155">
        <v>44567</v>
      </c>
      <c r="H1235" s="167">
        <v>0.012</v>
      </c>
      <c r="I1235" s="149"/>
      <c r="J1235" s="157"/>
      <c r="K1235" s="157"/>
      <c r="L1235" s="149">
        <f>+K1235-((K1235*0.3226*0.125)+(K1235*(1-0.3226)*0.26))</f>
        <v>0</v>
      </c>
      <c r="M1235" s="149">
        <f t="shared" si="45"/>
        <v>0</v>
      </c>
      <c r="N1235" s="159" t="s">
        <v>248</v>
      </c>
    </row>
    <row r="1236" spans="2:14" ht="23.25" customHeight="1">
      <c r="B1236" s="153" t="s">
        <v>146</v>
      </c>
      <c r="C1236" s="163" t="s">
        <v>380</v>
      </c>
      <c r="D1236" s="153" t="s">
        <v>410</v>
      </c>
      <c r="E1236" s="154">
        <v>44561</v>
      </c>
      <c r="F1236" s="155">
        <v>44564</v>
      </c>
      <c r="G1236" s="155">
        <v>44567</v>
      </c>
      <c r="H1236" s="167">
        <v>0.03</v>
      </c>
      <c r="I1236" s="149"/>
      <c r="J1236" s="157"/>
      <c r="K1236" s="157"/>
      <c r="L1236" s="149">
        <f>+K1236-((K1236*0.0055*0.125)+(K1236*(1-0.0055)*0.26))</f>
        <v>0</v>
      </c>
      <c r="M1236" s="149">
        <f t="shared" si="45"/>
        <v>0</v>
      </c>
      <c r="N1236" s="159" t="s">
        <v>248</v>
      </c>
    </row>
    <row r="1237" spans="2:14" ht="23.25" customHeight="1">
      <c r="B1237" s="153" t="s">
        <v>163</v>
      </c>
      <c r="C1237" s="166" t="s">
        <v>381</v>
      </c>
      <c r="D1237" s="153" t="s">
        <v>410</v>
      </c>
      <c r="E1237" s="154">
        <v>44561</v>
      </c>
      <c r="F1237" s="155">
        <v>44564</v>
      </c>
      <c r="G1237" s="155">
        <v>44567</v>
      </c>
      <c r="H1237" s="167">
        <v>0.03</v>
      </c>
      <c r="I1237" s="149"/>
      <c r="J1237" s="157"/>
      <c r="K1237" s="157"/>
      <c r="L1237" s="149">
        <f>+K1237-((K1237*0.0055*0.125)+(K1237*(1-0.0055)*0.26))</f>
        <v>0</v>
      </c>
      <c r="M1237" s="149">
        <f t="shared" si="45"/>
        <v>0</v>
      </c>
      <c r="N1237" s="159" t="s">
        <v>248</v>
      </c>
    </row>
    <row r="1238" spans="2:14" ht="23.25" customHeight="1">
      <c r="B1238" s="153" t="s">
        <v>151</v>
      </c>
      <c r="C1238" s="163" t="s">
        <v>383</v>
      </c>
      <c r="D1238" s="153" t="s">
        <v>410</v>
      </c>
      <c r="E1238" s="154">
        <v>44561</v>
      </c>
      <c r="F1238" s="155">
        <v>44564</v>
      </c>
      <c r="G1238" s="155">
        <v>44567</v>
      </c>
      <c r="H1238" s="167">
        <v>0.025</v>
      </c>
      <c r="I1238" s="149"/>
      <c r="J1238" s="157"/>
      <c r="K1238" s="157"/>
      <c r="L1238" s="149">
        <f>+K1238-((K1238*0.0529*0.125)+(K1238*(1-0.0529)*0.26))</f>
        <v>0</v>
      </c>
      <c r="M1238" s="149">
        <f t="shared" si="45"/>
        <v>0</v>
      </c>
      <c r="N1238" s="159" t="s">
        <v>248</v>
      </c>
    </row>
    <row r="1239" spans="2:14" ht="23.25" customHeight="1">
      <c r="B1239" s="153" t="s">
        <v>166</v>
      </c>
      <c r="C1239" s="166" t="s">
        <v>384</v>
      </c>
      <c r="D1239" s="153" t="s">
        <v>410</v>
      </c>
      <c r="E1239" s="154">
        <v>44561</v>
      </c>
      <c r="F1239" s="155">
        <v>44564</v>
      </c>
      <c r="G1239" s="155">
        <v>44567</v>
      </c>
      <c r="H1239" s="167">
        <v>0.025</v>
      </c>
      <c r="I1239" s="149"/>
      <c r="J1239" s="157"/>
      <c r="K1239" s="157"/>
      <c r="L1239" s="149">
        <f>+K1239-((K1239*0.0529*0.125)+(K1239*(1-0.0529)*0.26))</f>
        <v>0</v>
      </c>
      <c r="M1239" s="149">
        <f t="shared" si="45"/>
        <v>0</v>
      </c>
      <c r="N1239" s="159" t="s">
        <v>248</v>
      </c>
    </row>
    <row r="1240" spans="2:14" ht="23.25" customHeight="1">
      <c r="B1240" s="153" t="s">
        <v>149</v>
      </c>
      <c r="C1240" s="163" t="s">
        <v>386</v>
      </c>
      <c r="D1240" s="153" t="s">
        <v>410</v>
      </c>
      <c r="E1240" s="154">
        <v>44561</v>
      </c>
      <c r="F1240" s="155">
        <v>44564</v>
      </c>
      <c r="G1240" s="155">
        <v>44567</v>
      </c>
      <c r="H1240" s="167">
        <v>0.035</v>
      </c>
      <c r="I1240" s="149"/>
      <c r="J1240" s="157"/>
      <c r="K1240" s="157"/>
      <c r="L1240" s="149">
        <f>+K1240-((K1240*0.066*0.125)+(K1240*(1-0.066)*0.26))</f>
        <v>0</v>
      </c>
      <c r="M1240" s="149">
        <f t="shared" si="45"/>
        <v>0</v>
      </c>
      <c r="N1240" s="159" t="s">
        <v>248</v>
      </c>
    </row>
    <row r="1241" spans="2:14" ht="23.25" customHeight="1">
      <c r="B1241" s="153" t="s">
        <v>165</v>
      </c>
      <c r="C1241" s="166" t="s">
        <v>387</v>
      </c>
      <c r="D1241" s="153" t="s">
        <v>410</v>
      </c>
      <c r="E1241" s="154">
        <v>44561</v>
      </c>
      <c r="F1241" s="155">
        <v>44564</v>
      </c>
      <c r="G1241" s="155">
        <v>44567</v>
      </c>
      <c r="H1241" s="167">
        <v>0.035</v>
      </c>
      <c r="I1241" s="149"/>
      <c r="J1241" s="157"/>
      <c r="K1241" s="157"/>
      <c r="L1241" s="149">
        <f>+K1241-((K1241*0.066*0.125)+(K1241*(1-0.066)*0.26))</f>
        <v>0</v>
      </c>
      <c r="M1241" s="149">
        <f t="shared" si="45"/>
        <v>0</v>
      </c>
      <c r="N1241" s="159" t="s">
        <v>248</v>
      </c>
    </row>
    <row r="1242" spans="2:14" ht="23.25" customHeight="1">
      <c r="B1242" s="153" t="s">
        <v>153</v>
      </c>
      <c r="C1242" s="163" t="s">
        <v>394</v>
      </c>
      <c r="D1242" s="153" t="s">
        <v>410</v>
      </c>
      <c r="E1242" s="154">
        <v>44561</v>
      </c>
      <c r="F1242" s="155">
        <v>44564</v>
      </c>
      <c r="G1242" s="155">
        <v>44567</v>
      </c>
      <c r="H1242" s="167">
        <v>0.014</v>
      </c>
      <c r="I1242" s="149"/>
      <c r="J1242" s="157"/>
      <c r="K1242" s="157"/>
      <c r="L1242" s="149">
        <f>+K1242-((K1242*0.1125*0.125)+(K1242*(1-0.1125)*0.26))</f>
        <v>0</v>
      </c>
      <c r="M1242" s="149">
        <f t="shared" si="45"/>
        <v>0</v>
      </c>
      <c r="N1242" s="159" t="s">
        <v>248</v>
      </c>
    </row>
    <row r="1243" spans="2:14" ht="23.25" customHeight="1">
      <c r="B1243" s="153" t="s">
        <v>152</v>
      </c>
      <c r="C1243" s="163" t="s">
        <v>395</v>
      </c>
      <c r="D1243" s="153" t="s">
        <v>410</v>
      </c>
      <c r="E1243" s="154">
        <v>44561</v>
      </c>
      <c r="F1243" s="155">
        <v>44564</v>
      </c>
      <c r="G1243" s="155">
        <v>44567</v>
      </c>
      <c r="H1243" s="167">
        <v>0.014</v>
      </c>
      <c r="I1243" s="149"/>
      <c r="J1243" s="157"/>
      <c r="K1243" s="157"/>
      <c r="L1243" s="149">
        <f>+K1243-((K1243*0.1125*0.125)+(K1243*(1-0.1125)*0.26))</f>
        <v>0</v>
      </c>
      <c r="M1243" s="149">
        <f t="shared" si="45"/>
        <v>0</v>
      </c>
      <c r="N1243" s="159" t="s">
        <v>248</v>
      </c>
    </row>
    <row r="1244" spans="2:14" ht="23.25" customHeight="1">
      <c r="B1244" s="153" t="s">
        <v>167</v>
      </c>
      <c r="C1244" s="166" t="s">
        <v>396</v>
      </c>
      <c r="D1244" s="153" t="s">
        <v>410</v>
      </c>
      <c r="E1244" s="154">
        <v>44561</v>
      </c>
      <c r="F1244" s="155">
        <v>44564</v>
      </c>
      <c r="G1244" s="155">
        <v>44567</v>
      </c>
      <c r="H1244" s="167">
        <v>0.014</v>
      </c>
      <c r="I1244" s="149"/>
      <c r="J1244" s="157"/>
      <c r="K1244" s="157"/>
      <c r="L1244" s="149">
        <f>+K1244-((K1244*0.1125*0.125)+(K1244*(1-0.1125)*0.26))</f>
        <v>0</v>
      </c>
      <c r="M1244" s="149">
        <f t="shared" si="45"/>
        <v>0</v>
      </c>
      <c r="N1244" s="159" t="s">
        <v>248</v>
      </c>
    </row>
    <row r="1245" spans="2:14" ht="23.25" customHeight="1">
      <c r="B1245" s="153" t="s">
        <v>301</v>
      </c>
      <c r="C1245" s="163" t="s">
        <v>407</v>
      </c>
      <c r="D1245" s="153" t="s">
        <v>410</v>
      </c>
      <c r="E1245" s="154">
        <v>44561</v>
      </c>
      <c r="F1245" s="155">
        <v>44564</v>
      </c>
      <c r="G1245" s="155">
        <v>44567</v>
      </c>
      <c r="H1245" s="167">
        <v>0.014</v>
      </c>
      <c r="I1245" s="149"/>
      <c r="J1245" s="157"/>
      <c r="K1245" s="157"/>
      <c r="L1245" s="149">
        <f>+K1245-((K1245*0.1125*0.125)+(K1245*(1-0.1125)*0.26))</f>
        <v>0</v>
      </c>
      <c r="M1245" s="149">
        <f t="shared" si="45"/>
        <v>0</v>
      </c>
      <c r="N1245" s="159" t="s">
        <v>248</v>
      </c>
    </row>
    <row r="1246" spans="2:14" ht="23.25" customHeight="1">
      <c r="B1246" s="153" t="s">
        <v>304</v>
      </c>
      <c r="C1246" s="163" t="s">
        <v>408</v>
      </c>
      <c r="D1246" s="153" t="s">
        <v>410</v>
      </c>
      <c r="E1246" s="154">
        <v>44561</v>
      </c>
      <c r="F1246" s="155">
        <v>44564</v>
      </c>
      <c r="G1246" s="155">
        <v>44567</v>
      </c>
      <c r="H1246" s="167">
        <v>0.01</v>
      </c>
      <c r="I1246" s="149"/>
      <c r="J1246" s="157"/>
      <c r="K1246" s="157"/>
      <c r="L1246" s="149">
        <f>+K1246-((K1246*0.148*0.125)+(K1246*(1-0.148)*0.26))</f>
        <v>0</v>
      </c>
      <c r="M1246" s="149">
        <f t="shared" si="45"/>
        <v>0</v>
      </c>
      <c r="N1246" s="159" t="s">
        <v>248</v>
      </c>
    </row>
    <row r="1247" spans="2:14" ht="23.25" customHeight="1">
      <c r="B1247" s="153" t="s">
        <v>183</v>
      </c>
      <c r="C1247" s="166" t="s">
        <v>398</v>
      </c>
      <c r="D1247" s="153" t="s">
        <v>410</v>
      </c>
      <c r="E1247" s="154">
        <v>44561</v>
      </c>
      <c r="F1247" s="155">
        <v>44564</v>
      </c>
      <c r="G1247" s="155">
        <v>44567</v>
      </c>
      <c r="H1247" s="167">
        <v>0.01</v>
      </c>
      <c r="I1247" s="149"/>
      <c r="J1247" s="157"/>
      <c r="K1247" s="157"/>
      <c r="L1247" s="149">
        <f>+K1247-((K1247*0.148*0.125)+(K1247*(1-0.148)*0.26))</f>
        <v>0</v>
      </c>
      <c r="M1247" s="149">
        <f t="shared" si="45"/>
        <v>0</v>
      </c>
      <c r="N1247" s="159" t="s">
        <v>248</v>
      </c>
    </row>
    <row r="1248" spans="2:14" ht="23.25" customHeight="1">
      <c r="B1248" s="153" t="s">
        <v>313</v>
      </c>
      <c r="C1248" s="163" t="s">
        <v>429</v>
      </c>
      <c r="D1248" s="153" t="s">
        <v>411</v>
      </c>
      <c r="E1248" s="154">
        <v>44561</v>
      </c>
      <c r="F1248" s="155">
        <v>44564</v>
      </c>
      <c r="G1248" s="155">
        <v>44567</v>
      </c>
      <c r="H1248" s="167">
        <v>0.01</v>
      </c>
      <c r="I1248" s="157"/>
      <c r="J1248" s="157"/>
      <c r="K1248" s="157"/>
      <c r="L1248" s="149">
        <f>+K1248-((K1248*0.148*0.125)+(K1248*(1-0.148)*0.26))</f>
        <v>0</v>
      </c>
      <c r="M1248" s="149">
        <f>J1248+L1248</f>
        <v>0</v>
      </c>
      <c r="N1248" s="159" t="s">
        <v>251</v>
      </c>
    </row>
    <row r="1249" spans="2:14" ht="23.25" customHeight="1">
      <c r="B1249" s="153" t="s">
        <v>305</v>
      </c>
      <c r="C1249" s="163" t="s">
        <v>409</v>
      </c>
      <c r="D1249" s="153" t="s">
        <v>410</v>
      </c>
      <c r="E1249" s="154">
        <v>44561</v>
      </c>
      <c r="F1249" s="155">
        <v>44564</v>
      </c>
      <c r="G1249" s="155">
        <v>44567</v>
      </c>
      <c r="H1249" s="167">
        <v>0.01</v>
      </c>
      <c r="I1249" s="149"/>
      <c r="J1249" s="157"/>
      <c r="K1249" s="157"/>
      <c r="L1249" s="149">
        <f>+K1249-((K1249*0.148*0.125)+(K1249*(1-0.148)*0.26))</f>
        <v>0</v>
      </c>
      <c r="M1249" s="149">
        <f>J1249+L1249</f>
        <v>0</v>
      </c>
      <c r="N1249" s="159" t="s">
        <v>248</v>
      </c>
    </row>
    <row r="1250" spans="2:14" ht="23.25" customHeight="1">
      <c r="B1250" s="153" t="s">
        <v>147</v>
      </c>
      <c r="C1250" s="163" t="s">
        <v>468</v>
      </c>
      <c r="D1250" s="153" t="s">
        <v>410</v>
      </c>
      <c r="E1250" s="154">
        <v>44561</v>
      </c>
      <c r="F1250" s="155">
        <v>44564</v>
      </c>
      <c r="G1250" s="155">
        <v>44567</v>
      </c>
      <c r="H1250" s="167">
        <v>0.03</v>
      </c>
      <c r="I1250" s="149"/>
      <c r="J1250" s="157"/>
      <c r="K1250" s="157"/>
      <c r="L1250" s="149">
        <f>+K1250-((K1250*0.1445*0.125)+(K1250*(1-0.1445)*0.26))</f>
        <v>0</v>
      </c>
      <c r="M1250" s="149">
        <f>J1250+L1250</f>
        <v>0</v>
      </c>
      <c r="N1250" s="159" t="s">
        <v>248</v>
      </c>
    </row>
    <row r="1251" spans="1:14" ht="23.25" customHeight="1">
      <c r="A1251" s="10"/>
      <c r="B1251" s="153" t="s">
        <v>164</v>
      </c>
      <c r="C1251" s="166" t="s">
        <v>469</v>
      </c>
      <c r="D1251" s="153" t="s">
        <v>410</v>
      </c>
      <c r="E1251" s="154">
        <v>44561</v>
      </c>
      <c r="F1251" s="155">
        <v>44564</v>
      </c>
      <c r="G1251" s="155">
        <v>44567</v>
      </c>
      <c r="H1251" s="167">
        <v>0.03</v>
      </c>
      <c r="I1251" s="149"/>
      <c r="J1251" s="157"/>
      <c r="K1251" s="157"/>
      <c r="L1251" s="149">
        <f>+K1251-((K1251*0.1445*0.125)+(K1251*(1-0.1445)*0.26))</f>
        <v>0</v>
      </c>
      <c r="M1251" s="149">
        <f>J1251+L1251</f>
        <v>0</v>
      </c>
      <c r="N1251" s="159" t="s">
        <v>248</v>
      </c>
    </row>
    <row r="1252" spans="1:14" ht="23.25" customHeight="1">
      <c r="A1252" s="10"/>
      <c r="B1252" s="153" t="s">
        <v>132</v>
      </c>
      <c r="C1252" s="163" t="s">
        <v>358</v>
      </c>
      <c r="D1252" s="153" t="s">
        <v>410</v>
      </c>
      <c r="E1252" s="154">
        <v>44586</v>
      </c>
      <c r="F1252" s="155">
        <v>44587</v>
      </c>
      <c r="G1252" s="155">
        <v>44592</v>
      </c>
      <c r="H1252" s="167">
        <v>0.03</v>
      </c>
      <c r="I1252" s="149"/>
      <c r="J1252" s="157"/>
      <c r="K1252" s="157"/>
      <c r="L1252" s="149">
        <f>+K1252-((K1252*0.2888*0.125)+(K1252*(1-0.2888)*0.26))</f>
        <v>0</v>
      </c>
      <c r="M1252" s="149">
        <v>0</v>
      </c>
      <c r="N1252" s="159" t="s">
        <v>249</v>
      </c>
    </row>
    <row r="1253" spans="1:14" ht="23.25" customHeight="1">
      <c r="A1253" s="10"/>
      <c r="B1253" s="161" t="s">
        <v>227</v>
      </c>
      <c r="C1253" s="160" t="s">
        <v>359</v>
      </c>
      <c r="D1253" s="153" t="s">
        <v>410</v>
      </c>
      <c r="E1253" s="162">
        <v>44586</v>
      </c>
      <c r="F1253" s="162">
        <v>44587</v>
      </c>
      <c r="G1253" s="162">
        <v>44592</v>
      </c>
      <c r="H1253" s="167">
        <v>0.03</v>
      </c>
      <c r="I1253" s="149"/>
      <c r="J1253" s="157"/>
      <c r="K1253" s="157"/>
      <c r="L1253" s="149">
        <f>+K1253-((K1253*0.2888*0.125)+(K1253*(1-0.2888)*0.26))</f>
        <v>0</v>
      </c>
      <c r="M1253" s="149">
        <v>0</v>
      </c>
      <c r="N1253" s="161" t="s">
        <v>249</v>
      </c>
    </row>
    <row r="1254" spans="1:14" ht="23.25" customHeight="1">
      <c r="A1254" s="10"/>
      <c r="B1254" s="153" t="s">
        <v>156</v>
      </c>
      <c r="C1254" s="163" t="s">
        <v>475</v>
      </c>
      <c r="D1254" s="153" t="s">
        <v>498</v>
      </c>
      <c r="E1254" s="154">
        <v>44586</v>
      </c>
      <c r="F1254" s="154">
        <v>44587</v>
      </c>
      <c r="G1254" s="154">
        <v>44592</v>
      </c>
      <c r="H1254" s="167">
        <v>0.035</v>
      </c>
      <c r="I1254" s="149"/>
      <c r="J1254" s="157"/>
      <c r="K1254" s="157"/>
      <c r="L1254" s="149">
        <f>+K1254-((K1254*0.0000001*0.125)+(K1254*(1-0.0000001)*0.26))</f>
        <v>0</v>
      </c>
      <c r="M1254" s="149">
        <v>0</v>
      </c>
      <c r="N1254" s="159" t="s">
        <v>250</v>
      </c>
    </row>
    <row r="1255" spans="1:14" ht="23.25" customHeight="1">
      <c r="A1255" s="10"/>
      <c r="B1255" s="161" t="s">
        <v>178</v>
      </c>
      <c r="C1255" s="160" t="s">
        <v>474</v>
      </c>
      <c r="D1255" s="153" t="s">
        <v>498</v>
      </c>
      <c r="E1255" s="162">
        <v>44586</v>
      </c>
      <c r="F1255" s="162">
        <v>44587</v>
      </c>
      <c r="G1255" s="162">
        <v>44592</v>
      </c>
      <c r="H1255" s="167">
        <v>0.035</v>
      </c>
      <c r="I1255" s="149"/>
      <c r="J1255" s="157"/>
      <c r="K1255" s="157"/>
      <c r="L1255" s="149">
        <f>+K1255-((K1255*0.0000001*0.125)+(K1255*(1-0.0000001)*0.26))</f>
        <v>0</v>
      </c>
      <c r="M1255" s="149">
        <v>0</v>
      </c>
      <c r="N1255" s="159" t="s">
        <v>250</v>
      </c>
    </row>
    <row r="1256" spans="1:14" ht="23.25" customHeight="1">
      <c r="A1256" s="10"/>
      <c r="B1256" s="153" t="s">
        <v>133</v>
      </c>
      <c r="C1256" s="163" t="s">
        <v>476</v>
      </c>
      <c r="D1256" s="153" t="s">
        <v>410</v>
      </c>
      <c r="E1256" s="154">
        <v>44586</v>
      </c>
      <c r="F1256" s="155">
        <v>44587</v>
      </c>
      <c r="G1256" s="155">
        <v>44592</v>
      </c>
      <c r="H1256" s="167">
        <v>0.035</v>
      </c>
      <c r="I1256" s="149"/>
      <c r="J1256" s="157"/>
      <c r="K1256" s="157"/>
      <c r="L1256" s="149">
        <f>+K1256-((K1256*0.0032*0.125)+(K1256*(1-0.0032)*0.26))</f>
        <v>0</v>
      </c>
      <c r="M1256" s="149">
        <v>0</v>
      </c>
      <c r="N1256" s="159" t="s">
        <v>249</v>
      </c>
    </row>
    <row r="1257" spans="1:14" ht="23.25" customHeight="1">
      <c r="A1257" s="10"/>
      <c r="B1257" s="153" t="s">
        <v>155</v>
      </c>
      <c r="C1257" s="163" t="s">
        <v>477</v>
      </c>
      <c r="D1257" s="153" t="s">
        <v>498</v>
      </c>
      <c r="E1257" s="162">
        <v>44586</v>
      </c>
      <c r="F1257" s="162">
        <v>44587</v>
      </c>
      <c r="G1257" s="162">
        <v>44592</v>
      </c>
      <c r="H1257" s="167">
        <v>0.035</v>
      </c>
      <c r="I1257" s="149"/>
      <c r="J1257" s="157"/>
      <c r="K1257" s="157"/>
      <c r="L1257" s="149">
        <f>+K1257-((K1257*0.0032*0.125)+(K1257*(1-0.0032)*0.26))</f>
        <v>0</v>
      </c>
      <c r="M1257" s="149">
        <v>0</v>
      </c>
      <c r="N1257" s="159" t="s">
        <v>250</v>
      </c>
    </row>
    <row r="1258" spans="1:14" ht="23.25" customHeight="1">
      <c r="A1258" s="10"/>
      <c r="B1258" s="161" t="s">
        <v>177</v>
      </c>
      <c r="C1258" s="160" t="s">
        <v>478</v>
      </c>
      <c r="D1258" s="153" t="s">
        <v>498</v>
      </c>
      <c r="E1258" s="162">
        <v>44586</v>
      </c>
      <c r="F1258" s="162">
        <v>44587</v>
      </c>
      <c r="G1258" s="162">
        <v>44592</v>
      </c>
      <c r="H1258" s="167">
        <v>0.035</v>
      </c>
      <c r="I1258" s="149"/>
      <c r="J1258" s="157"/>
      <c r="K1258" s="157"/>
      <c r="L1258" s="149">
        <f>+K1258-((K1258*0.0032*0.125)+(K1258*(1-0.0032)*0.26))</f>
        <v>0</v>
      </c>
      <c r="M1258" s="149">
        <v>0</v>
      </c>
      <c r="N1258" s="159" t="s">
        <v>250</v>
      </c>
    </row>
    <row r="1259" spans="1:14" ht="23.25" customHeight="1">
      <c r="A1259" s="10"/>
      <c r="B1259" s="153" t="s">
        <v>158</v>
      </c>
      <c r="C1259" s="163" t="s">
        <v>373</v>
      </c>
      <c r="D1259" s="153" t="s">
        <v>498</v>
      </c>
      <c r="E1259" s="162">
        <v>44586</v>
      </c>
      <c r="F1259" s="162">
        <v>44587</v>
      </c>
      <c r="G1259" s="162">
        <v>44592</v>
      </c>
      <c r="H1259" s="167">
        <v>0.04</v>
      </c>
      <c r="I1259" s="149"/>
      <c r="J1259" s="157"/>
      <c r="K1259" s="157"/>
      <c r="L1259" s="149">
        <f>+K1259-((K1259*0.2441*0.125)+(K1259*(1-0.2441)*0.26))</f>
        <v>0</v>
      </c>
      <c r="M1259" s="149">
        <v>0</v>
      </c>
      <c r="N1259" s="159" t="s">
        <v>250</v>
      </c>
    </row>
    <row r="1260" spans="1:14" ht="23.25" customHeight="1">
      <c r="A1260" s="10"/>
      <c r="B1260" s="153" t="s">
        <v>134</v>
      </c>
      <c r="C1260" s="163" t="s">
        <v>374</v>
      </c>
      <c r="D1260" s="153" t="s">
        <v>410</v>
      </c>
      <c r="E1260" s="154">
        <v>44586</v>
      </c>
      <c r="F1260" s="155">
        <v>44587</v>
      </c>
      <c r="G1260" s="155">
        <v>44592</v>
      </c>
      <c r="H1260" s="167">
        <v>0.04</v>
      </c>
      <c r="I1260" s="149"/>
      <c r="J1260" s="157"/>
      <c r="K1260" s="157"/>
      <c r="L1260" s="149">
        <f>+K1260-((K1260*0.2441*0.125)+(K1260*(1-0.2441)*0.26))</f>
        <v>0</v>
      </c>
      <c r="M1260" s="149">
        <v>0</v>
      </c>
      <c r="N1260" s="159" t="s">
        <v>249</v>
      </c>
    </row>
    <row r="1261" spans="1:14" ht="22.5" customHeight="1">
      <c r="A1261" s="10"/>
      <c r="B1261" s="153" t="s">
        <v>157</v>
      </c>
      <c r="C1261" s="163" t="s">
        <v>375</v>
      </c>
      <c r="D1261" s="153" t="s">
        <v>498</v>
      </c>
      <c r="E1261" s="162">
        <v>44586</v>
      </c>
      <c r="F1261" s="162">
        <v>44587</v>
      </c>
      <c r="G1261" s="162">
        <v>44592</v>
      </c>
      <c r="H1261" s="167">
        <v>0.04</v>
      </c>
      <c r="I1261" s="149"/>
      <c r="J1261" s="157"/>
      <c r="K1261" s="157"/>
      <c r="L1261" s="149">
        <f>+K1261-((K1261*0.2441*0.125)+(K1261*(1-0.2441)*0.26))</f>
        <v>0</v>
      </c>
      <c r="M1261" s="149">
        <v>0</v>
      </c>
      <c r="N1261" s="159" t="s">
        <v>250</v>
      </c>
    </row>
    <row r="1262" spans="1:14" ht="23.25" customHeight="1">
      <c r="A1262" s="10"/>
      <c r="B1262" s="161" t="s">
        <v>168</v>
      </c>
      <c r="C1262" s="160" t="s">
        <v>376</v>
      </c>
      <c r="D1262" s="153" t="s">
        <v>410</v>
      </c>
      <c r="E1262" s="162">
        <v>44586</v>
      </c>
      <c r="F1262" s="162">
        <v>44587</v>
      </c>
      <c r="G1262" s="162">
        <v>44592</v>
      </c>
      <c r="H1262" s="167">
        <v>0.04</v>
      </c>
      <c r="I1262" s="149"/>
      <c r="J1262" s="157"/>
      <c r="K1262" s="157"/>
      <c r="L1262" s="149">
        <f>+K1262-((K1262*0.2441*0.125)+(K1262*(1-0.2441)*0.26))</f>
        <v>0</v>
      </c>
      <c r="M1262" s="149">
        <v>0</v>
      </c>
      <c r="N1262" s="161" t="s">
        <v>249</v>
      </c>
    </row>
    <row r="1263" spans="1:14" ht="23.25" customHeight="1">
      <c r="A1263" s="10"/>
      <c r="B1263" s="153" t="s">
        <v>136</v>
      </c>
      <c r="C1263" s="163" t="s">
        <v>388</v>
      </c>
      <c r="D1263" s="153" t="s">
        <v>410</v>
      </c>
      <c r="E1263" s="154">
        <v>44586</v>
      </c>
      <c r="F1263" s="155">
        <v>44587</v>
      </c>
      <c r="G1263" s="155">
        <v>44592</v>
      </c>
      <c r="H1263" s="167">
        <v>0.03</v>
      </c>
      <c r="I1263" s="149"/>
      <c r="J1263" s="157"/>
      <c r="K1263" s="157"/>
      <c r="L1263" s="149">
        <f aca="true" t="shared" si="46" ref="L1263:L1268">+K1263-((K1263*0.062*0.125)+(K1263*(1-0.062)*0.26))</f>
        <v>0</v>
      </c>
      <c r="M1263" s="149">
        <v>0</v>
      </c>
      <c r="N1263" s="159" t="s">
        <v>249</v>
      </c>
    </row>
    <row r="1264" spans="1:14" ht="23.25" customHeight="1">
      <c r="A1264" s="10"/>
      <c r="B1264" s="153" t="s">
        <v>137</v>
      </c>
      <c r="C1264" s="163" t="s">
        <v>389</v>
      </c>
      <c r="D1264" s="153" t="s">
        <v>410</v>
      </c>
      <c r="E1264" s="154">
        <v>44586</v>
      </c>
      <c r="F1264" s="155">
        <v>44587</v>
      </c>
      <c r="G1264" s="155">
        <v>44592</v>
      </c>
      <c r="H1264" s="167">
        <v>0.0375</v>
      </c>
      <c r="I1264" s="149"/>
      <c r="J1264" s="157"/>
      <c r="K1264" s="157"/>
      <c r="L1264" s="149">
        <f t="shared" si="46"/>
        <v>0</v>
      </c>
      <c r="M1264" s="149">
        <v>0</v>
      </c>
      <c r="N1264" s="159" t="s">
        <v>249</v>
      </c>
    </row>
    <row r="1265" spans="1:14" ht="23.25" customHeight="1">
      <c r="A1265" s="10"/>
      <c r="B1265" s="153" t="s">
        <v>135</v>
      </c>
      <c r="C1265" s="163" t="s">
        <v>390</v>
      </c>
      <c r="D1265" s="153" t="s">
        <v>410</v>
      </c>
      <c r="E1265" s="154">
        <v>44586</v>
      </c>
      <c r="F1265" s="155">
        <v>44587</v>
      </c>
      <c r="G1265" s="155">
        <v>44592</v>
      </c>
      <c r="H1265" s="167">
        <v>0.045</v>
      </c>
      <c r="I1265" s="149"/>
      <c r="J1265" s="157"/>
      <c r="K1265" s="157"/>
      <c r="L1265" s="149">
        <f t="shared" si="46"/>
        <v>0</v>
      </c>
      <c r="M1265" s="149">
        <v>0</v>
      </c>
      <c r="N1265" s="159" t="s">
        <v>249</v>
      </c>
    </row>
    <row r="1266" spans="1:14" ht="23.25" customHeight="1">
      <c r="A1266" s="10"/>
      <c r="B1266" s="161" t="s">
        <v>170</v>
      </c>
      <c r="C1266" s="160" t="s">
        <v>391</v>
      </c>
      <c r="D1266" s="153" t="s">
        <v>410</v>
      </c>
      <c r="E1266" s="162">
        <v>44586</v>
      </c>
      <c r="F1266" s="162">
        <v>44587</v>
      </c>
      <c r="G1266" s="162">
        <v>44592</v>
      </c>
      <c r="H1266" s="167">
        <v>0.03</v>
      </c>
      <c r="I1266" s="149"/>
      <c r="J1266" s="157"/>
      <c r="K1266" s="157"/>
      <c r="L1266" s="149">
        <f t="shared" si="46"/>
        <v>0</v>
      </c>
      <c r="M1266" s="149">
        <v>0</v>
      </c>
      <c r="N1266" s="161" t="s">
        <v>249</v>
      </c>
    </row>
    <row r="1267" spans="2:14" ht="23.25" customHeight="1">
      <c r="B1267" s="161" t="s">
        <v>171</v>
      </c>
      <c r="C1267" s="160" t="s">
        <v>392</v>
      </c>
      <c r="D1267" s="153" t="s">
        <v>410</v>
      </c>
      <c r="E1267" s="162">
        <v>44586</v>
      </c>
      <c r="F1267" s="162">
        <v>44587</v>
      </c>
      <c r="G1267" s="162">
        <v>44592</v>
      </c>
      <c r="H1267" s="167">
        <v>0.0375</v>
      </c>
      <c r="I1267" s="149"/>
      <c r="J1267" s="157"/>
      <c r="K1267" s="157"/>
      <c r="L1267" s="149">
        <f t="shared" si="46"/>
        <v>0</v>
      </c>
      <c r="M1267" s="149">
        <v>0</v>
      </c>
      <c r="N1267" s="161" t="s">
        <v>249</v>
      </c>
    </row>
    <row r="1268" spans="2:14" ht="23.25" customHeight="1">
      <c r="B1268" s="161" t="s">
        <v>172</v>
      </c>
      <c r="C1268" s="160" t="s">
        <v>393</v>
      </c>
      <c r="D1268" s="153" t="s">
        <v>410</v>
      </c>
      <c r="E1268" s="162">
        <v>44586</v>
      </c>
      <c r="F1268" s="162">
        <v>44587</v>
      </c>
      <c r="G1268" s="162">
        <v>44592</v>
      </c>
      <c r="H1268" s="167">
        <v>0.045</v>
      </c>
      <c r="I1268" s="149"/>
      <c r="J1268" s="157"/>
      <c r="K1268" s="157"/>
      <c r="L1268" s="149">
        <f t="shared" si="46"/>
        <v>0</v>
      </c>
      <c r="M1268" s="149">
        <v>0</v>
      </c>
      <c r="N1268" s="161" t="s">
        <v>249</v>
      </c>
    </row>
    <row r="1269" spans="2:14" ht="23.25" customHeight="1">
      <c r="B1269" s="153" t="s">
        <v>481</v>
      </c>
      <c r="C1269" s="163" t="s">
        <v>483</v>
      </c>
      <c r="D1269" s="154" t="s">
        <v>412</v>
      </c>
      <c r="E1269" s="155">
        <v>44586</v>
      </c>
      <c r="F1269" s="155">
        <v>44587</v>
      </c>
      <c r="G1269" s="155">
        <v>44592</v>
      </c>
      <c r="H1269" s="167">
        <v>0.055</v>
      </c>
      <c r="I1269" s="164"/>
      <c r="J1269" s="164"/>
      <c r="K1269" s="149"/>
      <c r="L1269" s="149">
        <f>+K1269-((K1269*0.1276*0.125)+(K1269*(1-0.1276)*0.26))</f>
        <v>0</v>
      </c>
      <c r="M1269" s="158">
        <f>J1269+L1269</f>
        <v>0</v>
      </c>
      <c r="N1269" s="159" t="s">
        <v>497</v>
      </c>
    </row>
    <row r="1270" spans="2:14" ht="23.25" customHeight="1">
      <c r="B1270" s="153" t="s">
        <v>154</v>
      </c>
      <c r="C1270" s="163" t="s">
        <v>399</v>
      </c>
      <c r="D1270" s="153" t="s">
        <v>498</v>
      </c>
      <c r="E1270" s="162">
        <v>44586</v>
      </c>
      <c r="F1270" s="162">
        <v>44587</v>
      </c>
      <c r="G1270" s="162">
        <v>44592</v>
      </c>
      <c r="H1270" s="167">
        <v>0.055</v>
      </c>
      <c r="I1270" s="149"/>
      <c r="J1270" s="157"/>
      <c r="K1270" s="157"/>
      <c r="L1270" s="149">
        <f>+K1270-((K1270*0.1276*0.125)+(K1270*(1-0.1276)*0.26))</f>
        <v>0</v>
      </c>
      <c r="M1270" s="149">
        <v>0</v>
      </c>
      <c r="N1270" s="159" t="s">
        <v>250</v>
      </c>
    </row>
    <row r="1271" spans="1:252" s="255" customFormat="1" ht="23.25" customHeight="1">
      <c r="A1271" s="3"/>
      <c r="B1271" s="153" t="s">
        <v>482</v>
      </c>
      <c r="C1271" s="163" t="s">
        <v>484</v>
      </c>
      <c r="D1271" s="154" t="s">
        <v>412</v>
      </c>
      <c r="E1271" s="155">
        <v>44586</v>
      </c>
      <c r="F1271" s="155">
        <v>44587</v>
      </c>
      <c r="G1271" s="155">
        <v>44592</v>
      </c>
      <c r="H1271" s="167">
        <v>0.055</v>
      </c>
      <c r="I1271" s="164"/>
      <c r="J1271" s="164"/>
      <c r="K1271" s="149"/>
      <c r="L1271" s="149">
        <f>+K1271-((K1271*0.1276*0.125)+(K1271*(1-0.1276)*0.26))</f>
        <v>0</v>
      </c>
      <c r="M1271" s="158">
        <f>J1271+L1271</f>
        <v>0</v>
      </c>
      <c r="N1271" s="159" t="s">
        <v>497</v>
      </c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  <c r="GO1271" s="3"/>
      <c r="GP1271" s="3"/>
      <c r="GQ1271" s="3"/>
      <c r="GR1271" s="3"/>
      <c r="GS1271" s="3"/>
      <c r="GT1271" s="3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  <c r="HI1271" s="3"/>
      <c r="HJ1271" s="3"/>
      <c r="HK1271" s="3"/>
      <c r="HL1271" s="3"/>
      <c r="HM1271" s="3"/>
      <c r="HN1271" s="3"/>
      <c r="HO1271" s="3"/>
      <c r="HP1271" s="3"/>
      <c r="HQ1271" s="3"/>
      <c r="HR1271" s="3"/>
      <c r="HS1271" s="3"/>
      <c r="HT1271" s="3"/>
      <c r="HU1271" s="3"/>
      <c r="HV1271" s="3"/>
      <c r="HW1271" s="3"/>
      <c r="HX1271" s="3"/>
      <c r="HY1271" s="3"/>
      <c r="HZ1271" s="3"/>
      <c r="IA1271" s="3"/>
      <c r="IB1271" s="3"/>
      <c r="IC1271" s="3"/>
      <c r="ID1271" s="3"/>
      <c r="IE1271" s="3"/>
      <c r="IF1271" s="3"/>
      <c r="IG1271" s="3"/>
      <c r="IH1271" s="3"/>
      <c r="II1271" s="3"/>
      <c r="IJ1271" s="3"/>
      <c r="IK1271" s="3"/>
      <c r="IL1271" s="3"/>
      <c r="IM1271" s="3"/>
      <c r="IN1271" s="3"/>
      <c r="IO1271" s="3"/>
      <c r="IP1271" s="3"/>
      <c r="IQ1271" s="3"/>
      <c r="IR1271" s="3"/>
    </row>
    <row r="1272" spans="1:252" s="255" customFormat="1" ht="23.25" customHeight="1">
      <c r="A1272" s="3"/>
      <c r="B1272" s="161" t="s">
        <v>169</v>
      </c>
      <c r="C1272" s="160" t="s">
        <v>400</v>
      </c>
      <c r="D1272" s="153" t="s">
        <v>410</v>
      </c>
      <c r="E1272" s="162">
        <v>44586</v>
      </c>
      <c r="F1272" s="162">
        <v>44587</v>
      </c>
      <c r="G1272" s="162">
        <v>44592</v>
      </c>
      <c r="H1272" s="167">
        <v>0.055</v>
      </c>
      <c r="I1272" s="149"/>
      <c r="J1272" s="157"/>
      <c r="K1272" s="157"/>
      <c r="L1272" s="149">
        <f>+K1272-((K1272*0.1276*0.125)+(K1272*(1-0.1276)*0.26))</f>
        <v>0</v>
      </c>
      <c r="M1272" s="149">
        <v>0</v>
      </c>
      <c r="N1272" s="161" t="s">
        <v>249</v>
      </c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  <c r="GO1272" s="3"/>
      <c r="GP1272" s="3"/>
      <c r="GQ1272" s="3"/>
      <c r="GR1272" s="3"/>
      <c r="GS1272" s="3"/>
      <c r="GT1272" s="3"/>
      <c r="GU1272" s="3"/>
      <c r="GV1272" s="3"/>
      <c r="GW1272" s="3"/>
      <c r="GX1272" s="3"/>
      <c r="GY1272" s="3"/>
      <c r="GZ1272" s="3"/>
      <c r="HA1272" s="3"/>
      <c r="HB1272" s="3"/>
      <c r="HC1272" s="3"/>
      <c r="HD1272" s="3"/>
      <c r="HE1272" s="3"/>
      <c r="HF1272" s="3"/>
      <c r="HG1272" s="3"/>
      <c r="HH1272" s="3"/>
      <c r="HI1272" s="3"/>
      <c r="HJ1272" s="3"/>
      <c r="HK1272" s="3"/>
      <c r="HL1272" s="3"/>
      <c r="HM1272" s="3"/>
      <c r="HN1272" s="3"/>
      <c r="HO1272" s="3"/>
      <c r="HP1272" s="3"/>
      <c r="HQ1272" s="3"/>
      <c r="HR1272" s="3"/>
      <c r="HS1272" s="3"/>
      <c r="HT1272" s="3"/>
      <c r="HU1272" s="3"/>
      <c r="HV1272" s="3"/>
      <c r="HW1272" s="3"/>
      <c r="HX1272" s="3"/>
      <c r="HY1272" s="3"/>
      <c r="HZ1272" s="3"/>
      <c r="IA1272" s="3"/>
      <c r="IB1272" s="3"/>
      <c r="IC1272" s="3"/>
      <c r="ID1272" s="3"/>
      <c r="IE1272" s="3"/>
      <c r="IF1272" s="3"/>
      <c r="IG1272" s="3"/>
      <c r="IH1272" s="3"/>
      <c r="II1272" s="3"/>
      <c r="IJ1272" s="3"/>
      <c r="IK1272" s="3"/>
      <c r="IL1272" s="3"/>
      <c r="IM1272" s="3"/>
      <c r="IN1272" s="3"/>
      <c r="IO1272" s="3"/>
      <c r="IP1272" s="3"/>
      <c r="IQ1272" s="3"/>
      <c r="IR1272" s="3"/>
    </row>
  </sheetData>
  <sheetProtection/>
  <autoFilter ref="A5:IR1272">
    <sortState ref="A6:IR1272">
      <sortCondition sortBy="value" ref="E6:E1272"/>
    </sortState>
  </autoFilter>
  <conditionalFormatting sqref="F543:F544">
    <cfRule type="cellIs" priority="3" dxfId="2" operator="between">
      <formula>'AF Classi E-E2 F-F2 G-G2'!#REF!</formula>
      <formula>'AF Classi E-E2 F-F2 G-G2'!#REF!</formula>
    </cfRule>
  </conditionalFormatting>
  <conditionalFormatting sqref="F541:F542">
    <cfRule type="cellIs" priority="2" dxfId="2" operator="between">
      <formula>'AF Classi E-E2 F-F2 G-G2'!#REF!</formula>
      <formula>'AF Classi E-E2 F-F2 G-G2'!#REF!</formula>
    </cfRule>
  </conditionalFormatting>
  <printOptions/>
  <pageMargins left="0.7" right="0.7" top="0.75" bottom="0.75" header="0.3" footer="0.3"/>
  <pageSetup horizontalDpi="600" verticalDpi="600" orientation="landscape" paperSize="9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84"/>
  <sheetViews>
    <sheetView zoomScale="80" zoomScaleNormal="80" zoomScalePageLayoutView="0" workbookViewId="0" topLeftCell="A1">
      <pane ySplit="5" topLeftCell="A199" activePane="bottomLeft" state="frozen"/>
      <selection pane="topLeft" activeCell="B1" sqref="B1"/>
      <selection pane="bottomLeft" activeCell="C211" sqref="C211"/>
    </sheetView>
  </sheetViews>
  <sheetFormatPr defaultColWidth="9.140625" defaultRowHeight="15"/>
  <cols>
    <col min="1" max="1" width="19.00390625" style="10" hidden="1" customWidth="1"/>
    <col min="2" max="2" width="16.57421875" style="0" customWidth="1"/>
    <col min="3" max="3" width="61.8515625" style="218" customWidth="1"/>
    <col min="4" max="4" width="17.140625" style="24" customWidth="1"/>
    <col min="5" max="5" width="20.00390625" style="0" customWidth="1"/>
    <col min="6" max="6" width="15.8515625" style="0" customWidth="1"/>
    <col min="7" max="7" width="15.57421875" style="0" customWidth="1"/>
    <col min="8" max="8" width="14.140625" style="0" customWidth="1"/>
    <col min="9" max="9" width="17.140625" style="24" customWidth="1"/>
    <col min="10" max="12" width="14.140625" style="24" customWidth="1"/>
    <col min="13" max="13" width="17.140625" style="24" customWidth="1"/>
    <col min="14" max="14" width="14.140625" style="0" customWidth="1"/>
    <col min="15" max="15" width="30.421875" style="0" bestFit="1" customWidth="1"/>
  </cols>
  <sheetData>
    <row r="1" spans="2:14" s="3" customFormat="1" ht="23.25" customHeight="1">
      <c r="B1" s="5"/>
      <c r="C1" s="7"/>
      <c r="D1" s="5"/>
      <c r="E1" s="2"/>
      <c r="F1" s="5"/>
      <c r="G1" s="2"/>
      <c r="H1" s="2"/>
      <c r="I1" s="38"/>
      <c r="J1" s="38"/>
      <c r="K1" s="38"/>
      <c r="L1" s="38"/>
      <c r="M1" s="38"/>
      <c r="N1" s="8"/>
    </row>
    <row r="2" spans="2:14" s="3" customFormat="1" ht="23.25" customHeight="1">
      <c r="B2" s="5"/>
      <c r="C2" s="7"/>
      <c r="D2" s="5"/>
      <c r="E2" s="2"/>
      <c r="F2" s="5"/>
      <c r="G2" s="2"/>
      <c r="H2" s="2"/>
      <c r="I2" s="38"/>
      <c r="J2" s="38"/>
      <c r="K2" s="38"/>
      <c r="L2" s="38"/>
      <c r="M2" s="38"/>
      <c r="N2" s="8"/>
    </row>
    <row r="3" spans="2:14" s="3" customFormat="1" ht="23.25" customHeight="1">
      <c r="B3" s="5"/>
      <c r="C3" s="7"/>
      <c r="D3" s="5"/>
      <c r="E3" s="2"/>
      <c r="F3" s="5"/>
      <c r="G3" s="2"/>
      <c r="H3" s="2"/>
      <c r="I3" s="38"/>
      <c r="J3" s="38"/>
      <c r="K3" s="38"/>
      <c r="L3" s="38"/>
      <c r="M3" s="38"/>
      <c r="N3" s="8"/>
    </row>
    <row r="4" spans="2:14" s="3" customFormat="1" ht="23.25" customHeight="1" thickBot="1">
      <c r="B4" s="5"/>
      <c r="C4" s="7"/>
      <c r="D4" s="5"/>
      <c r="E4" s="2"/>
      <c r="F4" s="5"/>
      <c r="G4" s="2"/>
      <c r="H4" s="2"/>
      <c r="I4" s="38"/>
      <c r="J4" s="38"/>
      <c r="K4" s="38"/>
      <c r="L4" s="38"/>
      <c r="M4" s="38"/>
      <c r="N4" s="8"/>
    </row>
    <row r="5" spans="1:14" s="207" customFormat="1" ht="115.5" customHeight="1" thickBot="1" thickTop="1">
      <c r="A5" s="206" t="s">
        <v>228</v>
      </c>
      <c r="B5" s="208" t="s">
        <v>0</v>
      </c>
      <c r="C5" s="208" t="s">
        <v>1</v>
      </c>
      <c r="D5" s="209" t="s">
        <v>2</v>
      </c>
      <c r="E5" s="210" t="s">
        <v>702</v>
      </c>
      <c r="F5" s="210" t="s">
        <v>703</v>
      </c>
      <c r="G5" s="211" t="s">
        <v>704</v>
      </c>
      <c r="H5" s="213" t="s">
        <v>706</v>
      </c>
      <c r="I5" s="214" t="s">
        <v>711</v>
      </c>
      <c r="J5" s="215" t="s">
        <v>707</v>
      </c>
      <c r="K5" s="215" t="s">
        <v>708</v>
      </c>
      <c r="L5" s="215" t="s">
        <v>709</v>
      </c>
      <c r="M5" s="215" t="s">
        <v>710</v>
      </c>
      <c r="N5" s="209" t="s">
        <v>3</v>
      </c>
    </row>
    <row r="6" spans="1:14" s="62" customFormat="1" ht="23.25" customHeight="1" thickTop="1">
      <c r="A6" s="40" t="s">
        <v>234</v>
      </c>
      <c r="B6" s="56" t="s">
        <v>203</v>
      </c>
      <c r="C6" s="216" t="s">
        <v>445</v>
      </c>
      <c r="D6" s="56" t="s">
        <v>410</v>
      </c>
      <c r="E6" s="57">
        <v>43830</v>
      </c>
      <c r="F6" s="57">
        <v>43832</v>
      </c>
      <c r="G6" s="57">
        <v>43837</v>
      </c>
      <c r="H6" s="58"/>
      <c r="I6" s="59">
        <v>3</v>
      </c>
      <c r="J6" s="56">
        <v>0</v>
      </c>
      <c r="K6" s="59">
        <v>3</v>
      </c>
      <c r="L6" s="60">
        <f>+K6-((K6*0.696*0.125)+(K6*(1-0.696)*0.26))</f>
        <v>2.50188</v>
      </c>
      <c r="M6" s="61">
        <f aca="true" t="shared" si="0" ref="M6:M37">L6+J6</f>
        <v>2.50188</v>
      </c>
      <c r="N6" s="56" t="s">
        <v>248</v>
      </c>
    </row>
    <row r="7" spans="1:14" s="62" customFormat="1" ht="23.25" customHeight="1">
      <c r="A7" s="40" t="s">
        <v>235</v>
      </c>
      <c r="B7" s="56" t="s">
        <v>204</v>
      </c>
      <c r="C7" s="216" t="s">
        <v>446</v>
      </c>
      <c r="D7" s="56" t="s">
        <v>410</v>
      </c>
      <c r="E7" s="57">
        <v>43830</v>
      </c>
      <c r="F7" s="57">
        <v>43832</v>
      </c>
      <c r="G7" s="57">
        <v>43837</v>
      </c>
      <c r="H7" s="58"/>
      <c r="I7" s="59">
        <v>3</v>
      </c>
      <c r="J7" s="56">
        <v>0</v>
      </c>
      <c r="K7" s="59">
        <v>3</v>
      </c>
      <c r="L7" s="60">
        <f>+K7-((K7*0.016*0.125)+(K7*(1-0.016)*0.26))</f>
        <v>2.22648</v>
      </c>
      <c r="M7" s="61">
        <f t="shared" si="0"/>
        <v>2.22648</v>
      </c>
      <c r="N7" s="56" t="s">
        <v>248</v>
      </c>
    </row>
    <row r="8" spans="1:14" s="62" customFormat="1" ht="23.25" customHeight="1">
      <c r="A8" s="40" t="s">
        <v>238</v>
      </c>
      <c r="B8" s="56" t="s">
        <v>207</v>
      </c>
      <c r="C8" s="216" t="s">
        <v>447</v>
      </c>
      <c r="D8" s="56" t="s">
        <v>410</v>
      </c>
      <c r="E8" s="57">
        <v>43830</v>
      </c>
      <c r="F8" s="57">
        <v>43832</v>
      </c>
      <c r="G8" s="57">
        <v>43837</v>
      </c>
      <c r="H8" s="58"/>
      <c r="I8" s="56">
        <v>3.25</v>
      </c>
      <c r="J8" s="56">
        <v>0</v>
      </c>
      <c r="K8" s="56">
        <v>3.25</v>
      </c>
      <c r="L8" s="60">
        <f>+K8-((K8*0.951*0.125)+(K8*(1-0.951)*0.26))</f>
        <v>2.82225125</v>
      </c>
      <c r="M8" s="61">
        <f t="shared" si="0"/>
        <v>2.82225125</v>
      </c>
      <c r="N8" s="56" t="s">
        <v>248</v>
      </c>
    </row>
    <row r="9" spans="1:14" s="62" customFormat="1" ht="23.25" customHeight="1">
      <c r="A9" s="40" t="s">
        <v>236</v>
      </c>
      <c r="B9" s="56" t="s">
        <v>205</v>
      </c>
      <c r="C9" s="216" t="s">
        <v>448</v>
      </c>
      <c r="D9" s="56" t="s">
        <v>410</v>
      </c>
      <c r="E9" s="57">
        <v>43830</v>
      </c>
      <c r="F9" s="57">
        <v>43832</v>
      </c>
      <c r="G9" s="57">
        <v>43837</v>
      </c>
      <c r="H9" s="58"/>
      <c r="I9" s="56">
        <v>3.25</v>
      </c>
      <c r="J9" s="56">
        <v>0</v>
      </c>
      <c r="K9" s="56">
        <v>3.25</v>
      </c>
      <c r="L9" s="60">
        <f>+K9-((K9*0.452*0.125)+(K9*(1-0.452)*0.26))</f>
        <v>2.603315</v>
      </c>
      <c r="M9" s="61">
        <f t="shared" si="0"/>
        <v>2.603315</v>
      </c>
      <c r="N9" s="56" t="s">
        <v>248</v>
      </c>
    </row>
    <row r="10" spans="1:14" s="62" customFormat="1" ht="23.25" customHeight="1">
      <c r="A10" s="40" t="s">
        <v>237</v>
      </c>
      <c r="B10" s="56" t="s">
        <v>206</v>
      </c>
      <c r="C10" s="216" t="s">
        <v>449</v>
      </c>
      <c r="D10" s="56" t="s">
        <v>410</v>
      </c>
      <c r="E10" s="57">
        <v>43830</v>
      </c>
      <c r="F10" s="57">
        <v>43832</v>
      </c>
      <c r="G10" s="57">
        <v>43837</v>
      </c>
      <c r="H10" s="58"/>
      <c r="I10" s="59">
        <v>3</v>
      </c>
      <c r="J10" s="56">
        <v>0</v>
      </c>
      <c r="K10" s="59">
        <v>3</v>
      </c>
      <c r="L10" s="60">
        <f>+K10-((K10*0.452*0.125)+(K10*(1-0.452)*0.26))</f>
        <v>2.40306</v>
      </c>
      <c r="M10" s="61">
        <f t="shared" si="0"/>
        <v>2.40306</v>
      </c>
      <c r="N10" s="56" t="s">
        <v>248</v>
      </c>
    </row>
    <row r="11" spans="1:255" s="62" customFormat="1" ht="23.25" customHeight="1">
      <c r="A11" s="40" t="s">
        <v>243</v>
      </c>
      <c r="B11" s="56" t="s">
        <v>212</v>
      </c>
      <c r="C11" s="216" t="s">
        <v>450</v>
      </c>
      <c r="D11" s="56" t="s">
        <v>410</v>
      </c>
      <c r="E11" s="57">
        <v>43830</v>
      </c>
      <c r="F11" s="57">
        <v>43832</v>
      </c>
      <c r="G11" s="57">
        <v>43837</v>
      </c>
      <c r="H11" s="58"/>
      <c r="I11" s="56">
        <v>8.9968</v>
      </c>
      <c r="J11" s="56">
        <v>0</v>
      </c>
      <c r="K11" s="56">
        <v>8.9968</v>
      </c>
      <c r="L11" s="60">
        <f>+K11-((K11*0.000000001*0.125)+(K11*(1-0.000000001)*0.26))</f>
        <v>6.6576320012145676</v>
      </c>
      <c r="M11" s="61">
        <f t="shared" si="0"/>
        <v>6.6576320012145676</v>
      </c>
      <c r="N11" s="56" t="s">
        <v>248</v>
      </c>
      <c r="IU11" s="203"/>
    </row>
    <row r="12" spans="1:255" s="62" customFormat="1" ht="23.25" customHeight="1">
      <c r="A12" s="40" t="s">
        <v>239</v>
      </c>
      <c r="B12" s="56" t="s">
        <v>208</v>
      </c>
      <c r="C12" s="216" t="s">
        <v>451</v>
      </c>
      <c r="D12" s="56" t="s">
        <v>410</v>
      </c>
      <c r="E12" s="57">
        <v>43830</v>
      </c>
      <c r="F12" s="57">
        <v>43832</v>
      </c>
      <c r="G12" s="57">
        <v>43837</v>
      </c>
      <c r="H12" s="58"/>
      <c r="I12" s="56">
        <v>7.3726</v>
      </c>
      <c r="J12" s="56">
        <v>0</v>
      </c>
      <c r="K12" s="56">
        <v>7.3726</v>
      </c>
      <c r="L12" s="60">
        <f>+K12-((K12*0.001*0.125)+(K12*(1-0.001)*0.26))</f>
        <v>5.456719301</v>
      </c>
      <c r="M12" s="61">
        <f t="shared" si="0"/>
        <v>5.456719301</v>
      </c>
      <c r="N12" s="56" t="s">
        <v>248</v>
      </c>
      <c r="IU12" s="203"/>
    </row>
    <row r="13" spans="1:14" s="62" customFormat="1" ht="23.25" customHeight="1">
      <c r="A13" s="40" t="s">
        <v>244</v>
      </c>
      <c r="B13" s="56" t="s">
        <v>213</v>
      </c>
      <c r="C13" s="216" t="s">
        <v>452</v>
      </c>
      <c r="D13" s="56" t="s">
        <v>410</v>
      </c>
      <c r="E13" s="57">
        <v>43830</v>
      </c>
      <c r="F13" s="57">
        <v>43832</v>
      </c>
      <c r="G13" s="57">
        <v>43837</v>
      </c>
      <c r="H13" s="58"/>
      <c r="I13" s="56">
        <v>8.2688</v>
      </c>
      <c r="J13" s="56">
        <v>0</v>
      </c>
      <c r="K13" s="56">
        <v>8.2688</v>
      </c>
      <c r="L13" s="60">
        <f>+K13-((K13*0.063*0.125)+(K13*(1-0.063)*0.26))</f>
        <v>6.189238144</v>
      </c>
      <c r="M13" s="61">
        <f t="shared" si="0"/>
        <v>6.189238144</v>
      </c>
      <c r="N13" s="56" t="s">
        <v>248</v>
      </c>
    </row>
    <row r="14" spans="1:14" s="62" customFormat="1" ht="23.25" customHeight="1">
      <c r="A14" s="63" t="s">
        <v>245</v>
      </c>
      <c r="B14" s="56" t="s">
        <v>214</v>
      </c>
      <c r="C14" s="216" t="s">
        <v>453</v>
      </c>
      <c r="D14" s="56" t="s">
        <v>410</v>
      </c>
      <c r="E14" s="57">
        <v>43830</v>
      </c>
      <c r="F14" s="57">
        <v>43832</v>
      </c>
      <c r="G14" s="57">
        <v>43837</v>
      </c>
      <c r="H14" s="58"/>
      <c r="I14" s="56">
        <v>7.8734</v>
      </c>
      <c r="J14" s="56">
        <v>0</v>
      </c>
      <c r="K14" s="56">
        <v>7.8734</v>
      </c>
      <c r="L14" s="60">
        <f>+K14-((K14*0.251*0.125)+(K14*(1-0.251)*0.26))</f>
        <v>6.093106159</v>
      </c>
      <c r="M14" s="61">
        <f t="shared" si="0"/>
        <v>6.093106159</v>
      </c>
      <c r="N14" s="56" t="s">
        <v>248</v>
      </c>
    </row>
    <row r="15" spans="1:14" s="103" customFormat="1" ht="23.25" customHeight="1">
      <c r="A15" s="98" t="s">
        <v>226</v>
      </c>
      <c r="B15" s="99" t="s">
        <v>225</v>
      </c>
      <c r="C15" s="217" t="s">
        <v>454</v>
      </c>
      <c r="D15" s="99" t="s">
        <v>410</v>
      </c>
      <c r="E15" s="78">
        <v>43857</v>
      </c>
      <c r="F15" s="78">
        <v>43858</v>
      </c>
      <c r="G15" s="78">
        <v>43861</v>
      </c>
      <c r="H15" s="100"/>
      <c r="I15" s="99">
        <v>6.9067</v>
      </c>
      <c r="J15" s="99">
        <v>0</v>
      </c>
      <c r="K15" s="99">
        <v>6.9067</v>
      </c>
      <c r="L15" s="60">
        <f>+K15-((K15*0.268*0.125)+(K15*(1-0.268)*0.26))</f>
        <v>5.360842406</v>
      </c>
      <c r="M15" s="101">
        <f t="shared" si="0"/>
        <v>5.360842406</v>
      </c>
      <c r="N15" s="102" t="s">
        <v>249</v>
      </c>
    </row>
    <row r="16" spans="1:14" s="103" customFormat="1" ht="23.25" customHeight="1">
      <c r="A16" s="98" t="s">
        <v>224</v>
      </c>
      <c r="B16" s="99" t="s">
        <v>223</v>
      </c>
      <c r="C16" s="217" t="s">
        <v>490</v>
      </c>
      <c r="D16" s="99" t="s">
        <v>413</v>
      </c>
      <c r="E16" s="78">
        <v>43857</v>
      </c>
      <c r="F16" s="78">
        <v>43858</v>
      </c>
      <c r="G16" s="78">
        <v>43861</v>
      </c>
      <c r="H16" s="100"/>
      <c r="I16" s="99">
        <v>25.7787</v>
      </c>
      <c r="J16" s="99">
        <v>0</v>
      </c>
      <c r="K16" s="99">
        <v>25.7787</v>
      </c>
      <c r="L16" s="60">
        <f>+K16-((K16*0.001*0.125)+(K16*(1-0.001)*0.26))</f>
        <v>19.0797181245</v>
      </c>
      <c r="M16" s="101">
        <f t="shared" si="0"/>
        <v>19.0797181245</v>
      </c>
      <c r="N16" s="102" t="s">
        <v>250</v>
      </c>
    </row>
    <row r="17" spans="1:14" s="103" customFormat="1" ht="23.25" customHeight="1">
      <c r="A17" s="98" t="s">
        <v>220</v>
      </c>
      <c r="B17" s="99" t="s">
        <v>219</v>
      </c>
      <c r="C17" s="217" t="s">
        <v>485</v>
      </c>
      <c r="D17" s="99" t="s">
        <v>410</v>
      </c>
      <c r="E17" s="78">
        <v>43857</v>
      </c>
      <c r="F17" s="78">
        <v>43858</v>
      </c>
      <c r="G17" s="78">
        <v>43861</v>
      </c>
      <c r="H17" s="100"/>
      <c r="I17" s="99">
        <v>11.126</v>
      </c>
      <c r="J17" s="99">
        <v>0</v>
      </c>
      <c r="K17" s="99">
        <v>11.126</v>
      </c>
      <c r="L17" s="60">
        <f>+K17-((K17*0.000000001*0.125)+(K17*(1-0.000000001)*0.26))</f>
        <v>8.23324000150201</v>
      </c>
      <c r="M17" s="101">
        <f t="shared" si="0"/>
        <v>8.23324000150201</v>
      </c>
      <c r="N17" s="102" t="s">
        <v>249</v>
      </c>
    </row>
    <row r="18" spans="1:14" s="103" customFormat="1" ht="23.25" customHeight="1">
      <c r="A18" s="98" t="s">
        <v>222</v>
      </c>
      <c r="B18" s="99" t="s">
        <v>221</v>
      </c>
      <c r="C18" s="217" t="s">
        <v>486</v>
      </c>
      <c r="D18" s="99" t="s">
        <v>410</v>
      </c>
      <c r="E18" s="78">
        <v>43857</v>
      </c>
      <c r="F18" s="78">
        <v>43858</v>
      </c>
      <c r="G18" s="78">
        <v>43861</v>
      </c>
      <c r="H18" s="100"/>
      <c r="I18" s="99">
        <v>15.1676</v>
      </c>
      <c r="J18" s="99">
        <v>0</v>
      </c>
      <c r="K18" s="99">
        <v>15.1676</v>
      </c>
      <c r="L18" s="60">
        <f>+K18-((K18*0.000000001*0.125)+(K18*(1-0.000000001)*0.26))</f>
        <v>11.224024002047626</v>
      </c>
      <c r="M18" s="101">
        <f t="shared" si="0"/>
        <v>11.224024002047626</v>
      </c>
      <c r="N18" s="102" t="s">
        <v>249</v>
      </c>
    </row>
    <row r="19" spans="1:14" s="103" customFormat="1" ht="23.25" customHeight="1">
      <c r="A19" s="98"/>
      <c r="B19" s="99" t="s">
        <v>488</v>
      </c>
      <c r="C19" s="217" t="s">
        <v>489</v>
      </c>
      <c r="D19" s="99" t="s">
        <v>413</v>
      </c>
      <c r="E19" s="78">
        <v>43857</v>
      </c>
      <c r="F19" s="78">
        <v>43858</v>
      </c>
      <c r="G19" s="78">
        <v>43861</v>
      </c>
      <c r="H19" s="100"/>
      <c r="I19" s="99">
        <v>30</v>
      </c>
      <c r="J19" s="99">
        <v>0</v>
      </c>
      <c r="K19" s="99">
        <v>30</v>
      </c>
      <c r="L19" s="60">
        <f>+K19-((K19*0.000000001*0.125)+(K19*(1-0.000000001)*0.26))</f>
        <v>22.200000004049997</v>
      </c>
      <c r="M19" s="101">
        <f t="shared" si="0"/>
        <v>22.200000004049997</v>
      </c>
      <c r="N19" s="102" t="s">
        <v>250</v>
      </c>
    </row>
    <row r="20" spans="1:14" s="103" customFormat="1" ht="23.25" customHeight="1">
      <c r="A20" s="98"/>
      <c r="B20" s="99" t="s">
        <v>491</v>
      </c>
      <c r="C20" s="217" t="s">
        <v>492</v>
      </c>
      <c r="D20" s="99" t="s">
        <v>413</v>
      </c>
      <c r="E20" s="78">
        <v>43857</v>
      </c>
      <c r="F20" s="78">
        <v>43858</v>
      </c>
      <c r="G20" s="78">
        <v>43861</v>
      </c>
      <c r="H20" s="100"/>
      <c r="I20" s="99">
        <v>22.5</v>
      </c>
      <c r="J20" s="99">
        <v>8.22425095</v>
      </c>
      <c r="K20" s="99">
        <v>14.27574905</v>
      </c>
      <c r="L20" s="60">
        <f>+K20-((K20*0.242*0.125)+(K20*(1-0.242)*0.26))</f>
        <v>11.030443018463501</v>
      </c>
      <c r="M20" s="101">
        <f t="shared" si="0"/>
        <v>19.2546939684635</v>
      </c>
      <c r="N20" s="102" t="s">
        <v>250</v>
      </c>
    </row>
    <row r="21" spans="1:14" s="103" customFormat="1" ht="23.25" customHeight="1">
      <c r="A21" s="98" t="s">
        <v>232</v>
      </c>
      <c r="B21" s="99" t="s">
        <v>218</v>
      </c>
      <c r="C21" s="217" t="s">
        <v>455</v>
      </c>
      <c r="D21" s="99" t="s">
        <v>413</v>
      </c>
      <c r="E21" s="78">
        <v>43857</v>
      </c>
      <c r="F21" s="78">
        <v>43858</v>
      </c>
      <c r="G21" s="78">
        <v>43861</v>
      </c>
      <c r="H21" s="100"/>
      <c r="I21" s="99">
        <v>28.2407</v>
      </c>
      <c r="J21" s="99">
        <v>3.9149950800000015</v>
      </c>
      <c r="K21" s="99">
        <v>24.32570492</v>
      </c>
      <c r="L21" s="60">
        <f>+K21-((K21*0.242*0.125)+(K21*(1-0.242)*0.26))</f>
        <v>18.7957424205364</v>
      </c>
      <c r="M21" s="101">
        <f t="shared" si="0"/>
        <v>22.7107375005364</v>
      </c>
      <c r="N21" s="102" t="s">
        <v>250</v>
      </c>
    </row>
    <row r="22" spans="1:14" s="103" customFormat="1" ht="23.25" customHeight="1">
      <c r="A22" s="98"/>
      <c r="B22" s="99" t="s">
        <v>493</v>
      </c>
      <c r="C22" s="217" t="s">
        <v>495</v>
      </c>
      <c r="D22" s="99" t="s">
        <v>413</v>
      </c>
      <c r="E22" s="78">
        <v>43857</v>
      </c>
      <c r="F22" s="78">
        <v>43858</v>
      </c>
      <c r="G22" s="78">
        <v>43861</v>
      </c>
      <c r="H22" s="100"/>
      <c r="I22" s="99">
        <v>27.5</v>
      </c>
      <c r="J22" s="99">
        <v>8.45079504</v>
      </c>
      <c r="K22" s="99">
        <v>19.04920496</v>
      </c>
      <c r="L22" s="60">
        <f>+K22-((K22*0.159*0.125)+(K22*(1-0.159)*0.26))</f>
        <v>14.5053028548664</v>
      </c>
      <c r="M22" s="101">
        <f t="shared" si="0"/>
        <v>22.9560978948664</v>
      </c>
      <c r="N22" s="102" t="s">
        <v>250</v>
      </c>
    </row>
    <row r="23" spans="1:14" s="103" customFormat="1" ht="23.25" customHeight="1">
      <c r="A23" s="98"/>
      <c r="B23" s="99" t="s">
        <v>494</v>
      </c>
      <c r="C23" s="217" t="s">
        <v>496</v>
      </c>
      <c r="D23" s="99" t="s">
        <v>412</v>
      </c>
      <c r="E23" s="78">
        <v>43857</v>
      </c>
      <c r="F23" s="78">
        <v>43858</v>
      </c>
      <c r="G23" s="78">
        <v>43861</v>
      </c>
      <c r="H23" s="100"/>
      <c r="I23" s="99">
        <v>55</v>
      </c>
      <c r="J23" s="99">
        <v>37.61541366</v>
      </c>
      <c r="K23" s="99">
        <v>17.384586340000002</v>
      </c>
      <c r="L23" s="60">
        <f>+K23-((K23*0.159*0.125)+(K23*(1-0.159)*0.26))</f>
        <v>13.2377540373881</v>
      </c>
      <c r="M23" s="101">
        <f t="shared" si="0"/>
        <v>50.8531676973881</v>
      </c>
      <c r="N23" s="102" t="s">
        <v>497</v>
      </c>
    </row>
    <row r="24" spans="1:14" s="62" customFormat="1" ht="23.25" customHeight="1">
      <c r="A24" s="40" t="s">
        <v>246</v>
      </c>
      <c r="B24" s="56" t="s">
        <v>216</v>
      </c>
      <c r="C24" s="216" t="s">
        <v>456</v>
      </c>
      <c r="D24" s="56" t="s">
        <v>410</v>
      </c>
      <c r="E24" s="78">
        <v>43920</v>
      </c>
      <c r="F24" s="78">
        <v>43921</v>
      </c>
      <c r="G24" s="78">
        <v>43924</v>
      </c>
      <c r="H24" s="58"/>
      <c r="I24" s="56">
        <v>15.409991</v>
      </c>
      <c r="J24" s="56">
        <v>0</v>
      </c>
      <c r="K24" s="56">
        <v>15.409991</v>
      </c>
      <c r="L24" s="60">
        <f>+K24-((K24*0.104*0.125)+(K24*(1-0.104)*0.26))</f>
        <v>11.61974961364</v>
      </c>
      <c r="M24" s="101">
        <f t="shared" si="0"/>
        <v>11.61974961364</v>
      </c>
      <c r="N24" s="104" t="s">
        <v>247</v>
      </c>
    </row>
    <row r="25" spans="1:14" s="62" customFormat="1" ht="23.25" customHeight="1">
      <c r="A25" s="40" t="s">
        <v>233</v>
      </c>
      <c r="B25" s="56" t="s">
        <v>215</v>
      </c>
      <c r="C25" s="216" t="s">
        <v>457</v>
      </c>
      <c r="D25" s="56" t="s">
        <v>410</v>
      </c>
      <c r="E25" s="57">
        <v>43921</v>
      </c>
      <c r="F25" s="57">
        <v>43922</v>
      </c>
      <c r="G25" s="57">
        <v>43927</v>
      </c>
      <c r="H25" s="58"/>
      <c r="I25" s="56">
        <v>0</v>
      </c>
      <c r="J25" s="56">
        <v>0</v>
      </c>
      <c r="K25" s="56">
        <v>0</v>
      </c>
      <c r="L25" s="60">
        <f>+K25-((K25*0.342*0.125)+(K25*(1-0.342)*0.26))</f>
        <v>0</v>
      </c>
      <c r="M25" s="101">
        <f t="shared" si="0"/>
        <v>0</v>
      </c>
      <c r="N25" s="56" t="s">
        <v>248</v>
      </c>
    </row>
    <row r="26" spans="1:14" s="62" customFormat="1" ht="23.25" customHeight="1">
      <c r="A26" s="40" t="s">
        <v>234</v>
      </c>
      <c r="B26" s="56" t="s">
        <v>203</v>
      </c>
      <c r="C26" s="216" t="s">
        <v>445</v>
      </c>
      <c r="D26" s="56" t="s">
        <v>410</v>
      </c>
      <c r="E26" s="57">
        <v>43921</v>
      </c>
      <c r="F26" s="57">
        <v>43922</v>
      </c>
      <c r="G26" s="57">
        <v>43927</v>
      </c>
      <c r="H26" s="58"/>
      <c r="I26" s="56">
        <v>1.0163</v>
      </c>
      <c r="J26" s="56">
        <v>0</v>
      </c>
      <c r="K26" s="56">
        <v>1.0163</v>
      </c>
      <c r="L26" s="60">
        <f>+K26-((K26*0.666*0.125)+(K26*(1-0.666)*0.26))</f>
        <v>0.843437533</v>
      </c>
      <c r="M26" s="101">
        <f t="shared" si="0"/>
        <v>0.843437533</v>
      </c>
      <c r="N26" s="56" t="s">
        <v>248</v>
      </c>
    </row>
    <row r="27" spans="1:14" s="62" customFormat="1" ht="23.25" customHeight="1">
      <c r="A27" s="40" t="s">
        <v>235</v>
      </c>
      <c r="B27" s="56" t="s">
        <v>204</v>
      </c>
      <c r="C27" s="216" t="s">
        <v>446</v>
      </c>
      <c r="D27" s="56" t="s">
        <v>410</v>
      </c>
      <c r="E27" s="57">
        <v>43921</v>
      </c>
      <c r="F27" s="57">
        <v>43922</v>
      </c>
      <c r="G27" s="57">
        <v>43927</v>
      </c>
      <c r="H27" s="58"/>
      <c r="I27" s="56">
        <v>1.154</v>
      </c>
      <c r="J27" s="56">
        <v>0</v>
      </c>
      <c r="K27" s="56">
        <v>1.154</v>
      </c>
      <c r="L27" s="60">
        <f>+K27-((K27*0.008*0.125)+(K27*(1-0.008)*0.26))</f>
        <v>0.85520632</v>
      </c>
      <c r="M27" s="101">
        <f t="shared" si="0"/>
        <v>0.85520632</v>
      </c>
      <c r="N27" s="56" t="s">
        <v>248</v>
      </c>
    </row>
    <row r="28" spans="1:14" s="62" customFormat="1" ht="23.25" customHeight="1">
      <c r="A28" s="40" t="s">
        <v>238</v>
      </c>
      <c r="B28" s="56" t="s">
        <v>207</v>
      </c>
      <c r="C28" s="216" t="s">
        <v>447</v>
      </c>
      <c r="D28" s="56" t="s">
        <v>410</v>
      </c>
      <c r="E28" s="57">
        <v>43921</v>
      </c>
      <c r="F28" s="57">
        <v>43922</v>
      </c>
      <c r="G28" s="57">
        <v>43927</v>
      </c>
      <c r="H28" s="58"/>
      <c r="I28" s="56">
        <v>0.5072</v>
      </c>
      <c r="J28" s="56">
        <v>0</v>
      </c>
      <c r="K28" s="56">
        <v>0.5072</v>
      </c>
      <c r="L28" s="60">
        <f>+K28-((K28*0.949*0.125)+(K28*(1-0.949)*0.26))</f>
        <v>0.44030792799999996</v>
      </c>
      <c r="M28" s="101">
        <f t="shared" si="0"/>
        <v>0.44030792799999996</v>
      </c>
      <c r="N28" s="56" t="s">
        <v>248</v>
      </c>
    </row>
    <row r="29" spans="1:14" s="62" customFormat="1" ht="23.25" customHeight="1">
      <c r="A29" s="40" t="s">
        <v>240</v>
      </c>
      <c r="B29" s="56" t="s">
        <v>209</v>
      </c>
      <c r="C29" s="216" t="s">
        <v>458</v>
      </c>
      <c r="D29" s="56" t="s">
        <v>410</v>
      </c>
      <c r="E29" s="57">
        <v>43921</v>
      </c>
      <c r="F29" s="57">
        <v>43922</v>
      </c>
      <c r="G29" s="57">
        <v>43927</v>
      </c>
      <c r="H29" s="58"/>
      <c r="I29" s="56">
        <v>0</v>
      </c>
      <c r="J29" s="56">
        <v>0</v>
      </c>
      <c r="K29" s="56">
        <v>0</v>
      </c>
      <c r="L29" s="60">
        <f>+K29-((K29*0.112*0.125)+(K29*(1-0.112)*0.26))</f>
        <v>0</v>
      </c>
      <c r="M29" s="101">
        <f t="shared" si="0"/>
        <v>0</v>
      </c>
      <c r="N29" s="56" t="s">
        <v>248</v>
      </c>
    </row>
    <row r="30" spans="1:14" s="62" customFormat="1" ht="23.25" customHeight="1">
      <c r="A30" s="40" t="s">
        <v>236</v>
      </c>
      <c r="B30" s="56" t="s">
        <v>205</v>
      </c>
      <c r="C30" s="216" t="s">
        <v>448</v>
      </c>
      <c r="D30" s="56" t="s">
        <v>410</v>
      </c>
      <c r="E30" s="57">
        <v>43921</v>
      </c>
      <c r="F30" s="57">
        <v>43922</v>
      </c>
      <c r="G30" s="57">
        <v>43927</v>
      </c>
      <c r="H30" s="58"/>
      <c r="I30" s="56">
        <v>3.8864</v>
      </c>
      <c r="J30" s="56">
        <v>0</v>
      </c>
      <c r="K30" s="56">
        <v>3.8864</v>
      </c>
      <c r="L30" s="60">
        <f>+K30-((K30*0.478*0.125)+(K30*(1-0.478)*0.26))</f>
        <v>3.126725392</v>
      </c>
      <c r="M30" s="101">
        <f t="shared" si="0"/>
        <v>3.126725392</v>
      </c>
      <c r="N30" s="56" t="s">
        <v>248</v>
      </c>
    </row>
    <row r="31" spans="1:14" s="62" customFormat="1" ht="23.25" customHeight="1">
      <c r="A31" s="40" t="s">
        <v>237</v>
      </c>
      <c r="B31" s="56" t="s">
        <v>206</v>
      </c>
      <c r="C31" s="216" t="s">
        <v>449</v>
      </c>
      <c r="D31" s="56" t="s">
        <v>410</v>
      </c>
      <c r="E31" s="57">
        <v>43921</v>
      </c>
      <c r="F31" s="57">
        <v>43922</v>
      </c>
      <c r="G31" s="57">
        <v>43927</v>
      </c>
      <c r="H31" s="58"/>
      <c r="I31" s="56">
        <v>3.9935</v>
      </c>
      <c r="J31" s="56">
        <v>0</v>
      </c>
      <c r="K31" s="56">
        <v>3.9935</v>
      </c>
      <c r="L31" s="60">
        <f>+K31-((K31*0.478*0.125)+(K31*(1-0.478)*0.26))</f>
        <v>3.212890555</v>
      </c>
      <c r="M31" s="101">
        <f t="shared" si="0"/>
        <v>3.212890555</v>
      </c>
      <c r="N31" s="56" t="s">
        <v>248</v>
      </c>
    </row>
    <row r="32" spans="1:14" s="62" customFormat="1" ht="23.25" customHeight="1">
      <c r="A32" s="40"/>
      <c r="B32" s="56" t="s">
        <v>508</v>
      </c>
      <c r="C32" s="216" t="s">
        <v>509</v>
      </c>
      <c r="D32" s="56" t="s">
        <v>410</v>
      </c>
      <c r="E32" s="57">
        <v>43921</v>
      </c>
      <c r="F32" s="57">
        <v>43922</v>
      </c>
      <c r="G32" s="57">
        <v>43927</v>
      </c>
      <c r="H32" s="58"/>
      <c r="I32" s="56">
        <v>8.75</v>
      </c>
      <c r="J32" s="56">
        <v>6.8403208545</v>
      </c>
      <c r="K32" s="56">
        <v>1.9096791455000002</v>
      </c>
      <c r="L32" s="60">
        <f>+K32-((K32*0.001*0.125)+(K32*(1-0.001)*0.26))</f>
        <v>1.4134203743546425</v>
      </c>
      <c r="M32" s="101">
        <f t="shared" si="0"/>
        <v>8.253741228854642</v>
      </c>
      <c r="N32" s="56" t="s">
        <v>248</v>
      </c>
    </row>
    <row r="33" spans="1:14" s="62" customFormat="1" ht="23.25" customHeight="1">
      <c r="A33" s="40" t="s">
        <v>243</v>
      </c>
      <c r="B33" s="56" t="s">
        <v>212</v>
      </c>
      <c r="C33" s="216" t="s">
        <v>450</v>
      </c>
      <c r="D33" s="56" t="s">
        <v>410</v>
      </c>
      <c r="E33" s="57">
        <v>43921</v>
      </c>
      <c r="F33" s="57">
        <v>43922</v>
      </c>
      <c r="G33" s="57">
        <v>43927</v>
      </c>
      <c r="H33" s="58"/>
      <c r="I33" s="56">
        <v>6.3556</v>
      </c>
      <c r="J33" s="56">
        <v>0</v>
      </c>
      <c r="K33" s="56">
        <v>6.3556</v>
      </c>
      <c r="L33" s="60">
        <f>+K33-((K33*0.00000001*0.125)+(K33*(1-0.00000001)*0.26))</f>
        <v>4.70314400858006</v>
      </c>
      <c r="M33" s="101">
        <f t="shared" si="0"/>
        <v>4.70314400858006</v>
      </c>
      <c r="N33" s="56" t="s">
        <v>248</v>
      </c>
    </row>
    <row r="34" spans="1:14" s="62" customFormat="1" ht="23.25" customHeight="1">
      <c r="A34" s="40" t="s">
        <v>239</v>
      </c>
      <c r="B34" s="56" t="s">
        <v>208</v>
      </c>
      <c r="C34" s="216" t="s">
        <v>451</v>
      </c>
      <c r="D34" s="56" t="s">
        <v>410</v>
      </c>
      <c r="E34" s="57">
        <v>43921</v>
      </c>
      <c r="F34" s="57">
        <v>43922</v>
      </c>
      <c r="G34" s="57">
        <v>43927</v>
      </c>
      <c r="H34" s="58"/>
      <c r="I34" s="56">
        <v>6.3273</v>
      </c>
      <c r="J34" s="56">
        <v>0</v>
      </c>
      <c r="K34" s="56">
        <v>6.3273</v>
      </c>
      <c r="L34" s="60">
        <f>+K34-((K34*0.004*0.125)+(K34*(1-0.004)*0.26))</f>
        <v>4.685618742</v>
      </c>
      <c r="M34" s="101">
        <f t="shared" si="0"/>
        <v>4.685618742</v>
      </c>
      <c r="N34" s="56" t="s">
        <v>248</v>
      </c>
    </row>
    <row r="35" spans="1:14" s="62" customFormat="1" ht="23.25" customHeight="1">
      <c r="A35" s="40" t="s">
        <v>244</v>
      </c>
      <c r="B35" s="56" t="s">
        <v>213</v>
      </c>
      <c r="C35" s="216" t="s">
        <v>452</v>
      </c>
      <c r="D35" s="56" t="s">
        <v>410</v>
      </c>
      <c r="E35" s="57">
        <v>43921</v>
      </c>
      <c r="F35" s="57">
        <v>43922</v>
      </c>
      <c r="G35" s="57">
        <v>43927</v>
      </c>
      <c r="H35" s="58"/>
      <c r="I35" s="56">
        <v>5.7821</v>
      </c>
      <c r="J35" s="56">
        <v>0</v>
      </c>
      <c r="K35" s="56">
        <v>5.7821</v>
      </c>
      <c r="L35" s="60">
        <f>+K35-((K35*0.056*0.125)+(K35*(1-0.056)*0.26))</f>
        <v>4.3224666759999995</v>
      </c>
      <c r="M35" s="101">
        <f t="shared" si="0"/>
        <v>4.3224666759999995</v>
      </c>
      <c r="N35" s="56" t="s">
        <v>248</v>
      </c>
    </row>
    <row r="36" spans="1:255" s="62" customFormat="1" ht="23.25" customHeight="1">
      <c r="A36" s="40" t="s">
        <v>241</v>
      </c>
      <c r="B36" s="56" t="s">
        <v>210</v>
      </c>
      <c r="C36" s="216" t="s">
        <v>459</v>
      </c>
      <c r="D36" s="56" t="s">
        <v>410</v>
      </c>
      <c r="E36" s="57">
        <v>43921</v>
      </c>
      <c r="F36" s="57">
        <v>43922</v>
      </c>
      <c r="G36" s="57">
        <v>43927</v>
      </c>
      <c r="H36" s="58"/>
      <c r="I36" s="56">
        <v>12.3733</v>
      </c>
      <c r="J36" s="56">
        <v>0</v>
      </c>
      <c r="K36" s="56">
        <v>12.3733</v>
      </c>
      <c r="L36" s="60">
        <f>+K36-((K36*0.09*0.125)+(K36*(1-0.092)*0.26))</f>
        <v>9.313011711</v>
      </c>
      <c r="M36" s="101">
        <f t="shared" si="0"/>
        <v>9.313011711</v>
      </c>
      <c r="N36" s="56" t="s">
        <v>248</v>
      </c>
      <c r="IU36" s="203"/>
    </row>
    <row r="37" spans="1:14" s="62" customFormat="1" ht="23.25" customHeight="1">
      <c r="A37" s="63" t="s">
        <v>245</v>
      </c>
      <c r="B37" s="56" t="s">
        <v>214</v>
      </c>
      <c r="C37" s="216" t="s">
        <v>453</v>
      </c>
      <c r="D37" s="56" t="s">
        <v>410</v>
      </c>
      <c r="E37" s="57">
        <v>43921</v>
      </c>
      <c r="F37" s="57">
        <v>43922</v>
      </c>
      <c r="G37" s="57">
        <v>43927</v>
      </c>
      <c r="H37" s="58"/>
      <c r="I37" s="56">
        <v>10.5476</v>
      </c>
      <c r="J37" s="56">
        <v>0</v>
      </c>
      <c r="K37" s="56">
        <v>10.5476</v>
      </c>
      <c r="L37" s="60">
        <f>+K37-((K37*0.171*0.125)+(K37*(1-0.171)*0.26))</f>
        <v>8.048715346</v>
      </c>
      <c r="M37" s="101">
        <f t="shared" si="0"/>
        <v>8.048715346</v>
      </c>
      <c r="N37" s="56" t="s">
        <v>248</v>
      </c>
    </row>
    <row r="38" spans="1:14" s="62" customFormat="1" ht="23.25" customHeight="1">
      <c r="A38" s="40" t="s">
        <v>242</v>
      </c>
      <c r="B38" s="56" t="s">
        <v>211</v>
      </c>
      <c r="C38" s="216" t="s">
        <v>460</v>
      </c>
      <c r="D38" s="56" t="s">
        <v>410</v>
      </c>
      <c r="E38" s="57">
        <v>43921</v>
      </c>
      <c r="F38" s="57">
        <v>43922</v>
      </c>
      <c r="G38" s="57">
        <v>43927</v>
      </c>
      <c r="H38" s="58"/>
      <c r="I38" s="56">
        <v>0</v>
      </c>
      <c r="J38" s="56">
        <v>0</v>
      </c>
      <c r="K38" s="56">
        <v>0</v>
      </c>
      <c r="L38" s="60">
        <f>+K38-((K38*0.089*0.125)+(K38*(1-0.089)*0.26))</f>
        <v>0</v>
      </c>
      <c r="M38" s="101">
        <f aca="true" t="shared" si="1" ref="M38:M69">L38+J38</f>
        <v>0</v>
      </c>
      <c r="N38" s="56" t="s">
        <v>248</v>
      </c>
    </row>
    <row r="39" spans="1:14" s="62" customFormat="1" ht="23.25" customHeight="1">
      <c r="A39" s="63" t="s">
        <v>226</v>
      </c>
      <c r="B39" s="56" t="s">
        <v>225</v>
      </c>
      <c r="C39" s="216" t="s">
        <v>454</v>
      </c>
      <c r="D39" s="56" t="s">
        <v>410</v>
      </c>
      <c r="E39" s="78">
        <v>43945</v>
      </c>
      <c r="F39" s="78">
        <v>43948</v>
      </c>
      <c r="G39" s="78">
        <v>43951</v>
      </c>
      <c r="H39" s="58"/>
      <c r="I39" s="61">
        <v>7.1941</v>
      </c>
      <c r="J39" s="56">
        <v>0</v>
      </c>
      <c r="K39" s="61">
        <v>7.1941</v>
      </c>
      <c r="L39" s="60">
        <f>+K39-((K39*0.268*0.125)+(K39*(1-0.268)*0.26))</f>
        <v>5.5839165379999995</v>
      </c>
      <c r="M39" s="101">
        <f t="shared" si="1"/>
        <v>5.5839165379999995</v>
      </c>
      <c r="N39" s="104" t="s">
        <v>249</v>
      </c>
    </row>
    <row r="40" spans="1:254" s="62" customFormat="1" ht="23.25" customHeight="1">
      <c r="A40" s="56" t="s">
        <v>220</v>
      </c>
      <c r="B40" s="56" t="s">
        <v>219</v>
      </c>
      <c r="C40" s="216" t="s">
        <v>487</v>
      </c>
      <c r="D40" s="56" t="s">
        <v>410</v>
      </c>
      <c r="E40" s="78">
        <v>43945</v>
      </c>
      <c r="F40" s="78">
        <v>43948</v>
      </c>
      <c r="G40" s="78">
        <v>43951</v>
      </c>
      <c r="H40" s="56"/>
      <c r="I40" s="56">
        <v>8.3063</v>
      </c>
      <c r="J40" s="56">
        <v>0</v>
      </c>
      <c r="K40" s="56">
        <v>8.3063</v>
      </c>
      <c r="L40" s="101">
        <f>+K40-((K40*0.000000001*0.125)+(K40*(1-0.000000001)*0.26))</f>
        <v>6.14666200112135</v>
      </c>
      <c r="M40" s="104">
        <f t="shared" si="1"/>
        <v>6.14666200112135</v>
      </c>
      <c r="N40" s="104" t="s">
        <v>249</v>
      </c>
      <c r="IT40" s="56"/>
    </row>
    <row r="41" spans="1:14" s="62" customFormat="1" ht="23.25" customHeight="1">
      <c r="A41" s="63" t="s">
        <v>222</v>
      </c>
      <c r="B41" s="56" t="s">
        <v>221</v>
      </c>
      <c r="C41" s="216" t="s">
        <v>486</v>
      </c>
      <c r="D41" s="56" t="s">
        <v>410</v>
      </c>
      <c r="E41" s="78">
        <v>43945</v>
      </c>
      <c r="F41" s="78">
        <v>43948</v>
      </c>
      <c r="G41" s="78">
        <v>43951</v>
      </c>
      <c r="H41" s="58"/>
      <c r="I41" s="56">
        <v>11.4251</v>
      </c>
      <c r="J41" s="56">
        <v>0</v>
      </c>
      <c r="K41" s="56">
        <v>11.4251</v>
      </c>
      <c r="L41" s="60">
        <f>+K41-((K41*0.000000001*0.125)+(K41*(1-0.000000001)*0.26))</f>
        <v>8.454574001542388</v>
      </c>
      <c r="M41" s="101">
        <f t="shared" si="1"/>
        <v>8.454574001542388</v>
      </c>
      <c r="N41" s="104" t="s">
        <v>249</v>
      </c>
    </row>
    <row r="42" spans="1:14" s="13" customFormat="1" ht="23.25" customHeight="1">
      <c r="A42" s="41" t="s">
        <v>246</v>
      </c>
      <c r="B42" s="56" t="s">
        <v>216</v>
      </c>
      <c r="C42" s="216" t="s">
        <v>456</v>
      </c>
      <c r="D42" s="56" t="s">
        <v>410</v>
      </c>
      <c r="E42" s="78">
        <v>44011</v>
      </c>
      <c r="F42" s="78">
        <v>44012</v>
      </c>
      <c r="G42" s="78">
        <v>44015</v>
      </c>
      <c r="H42" s="58"/>
      <c r="I42" s="56">
        <v>0</v>
      </c>
      <c r="J42" s="56">
        <v>0</v>
      </c>
      <c r="K42" s="56">
        <v>0</v>
      </c>
      <c r="L42" s="60">
        <f>+K42-((K42*0.104*0.125)+(K42*(1-0.104)*0.26))</f>
        <v>0</v>
      </c>
      <c r="M42" s="101">
        <f t="shared" si="1"/>
        <v>0</v>
      </c>
      <c r="N42" s="104" t="s">
        <v>247</v>
      </c>
    </row>
    <row r="43" spans="1:14" s="13" customFormat="1" ht="23.25" customHeight="1">
      <c r="A43" s="41" t="s">
        <v>233</v>
      </c>
      <c r="B43" s="56" t="s">
        <v>215</v>
      </c>
      <c r="C43" s="216" t="s">
        <v>457</v>
      </c>
      <c r="D43" s="56" t="s">
        <v>410</v>
      </c>
      <c r="E43" s="57">
        <v>44012</v>
      </c>
      <c r="F43" s="57">
        <v>44013</v>
      </c>
      <c r="G43" s="57">
        <v>44018</v>
      </c>
      <c r="H43" s="58"/>
      <c r="I43" s="56">
        <v>0</v>
      </c>
      <c r="J43" s="56">
        <v>0</v>
      </c>
      <c r="K43" s="56">
        <v>0</v>
      </c>
      <c r="L43" s="60">
        <f>+K43-((K43*0.3017*0.125)+(K43*(1-0.3017)*0.26))</f>
        <v>0</v>
      </c>
      <c r="M43" s="101">
        <f t="shared" si="1"/>
        <v>0</v>
      </c>
      <c r="N43" s="56" t="s">
        <v>248</v>
      </c>
    </row>
    <row r="44" spans="1:14" s="13" customFormat="1" ht="23.25" customHeight="1">
      <c r="A44" s="41" t="s">
        <v>234</v>
      </c>
      <c r="B44" s="56" t="s">
        <v>203</v>
      </c>
      <c r="C44" s="216" t="s">
        <v>445</v>
      </c>
      <c r="D44" s="56" t="s">
        <v>410</v>
      </c>
      <c r="E44" s="57">
        <v>44012</v>
      </c>
      <c r="F44" s="57">
        <v>44013</v>
      </c>
      <c r="G44" s="57">
        <v>44018</v>
      </c>
      <c r="H44" s="58"/>
      <c r="I44" s="56">
        <v>1.0163</v>
      </c>
      <c r="J44" s="56">
        <v>0</v>
      </c>
      <c r="K44" s="56">
        <v>1.0163</v>
      </c>
      <c r="L44" s="60">
        <f>+K44-((K44*0.5914*0.125)+(K44*(1-0.5914)*0.26))</f>
        <v>0.8332023757</v>
      </c>
      <c r="M44" s="101">
        <f t="shared" si="1"/>
        <v>0.8332023757</v>
      </c>
      <c r="N44" s="56" t="s">
        <v>248</v>
      </c>
    </row>
    <row r="45" spans="1:14" s="13" customFormat="1" ht="23.25" customHeight="1">
      <c r="A45" s="41" t="s">
        <v>235</v>
      </c>
      <c r="B45" s="56" t="s">
        <v>204</v>
      </c>
      <c r="C45" s="216" t="s">
        <v>446</v>
      </c>
      <c r="D45" s="56" t="s">
        <v>410</v>
      </c>
      <c r="E45" s="57">
        <v>44012</v>
      </c>
      <c r="F45" s="57">
        <v>44013</v>
      </c>
      <c r="G45" s="57">
        <v>44018</v>
      </c>
      <c r="H45" s="58"/>
      <c r="I45" s="56">
        <v>1.154</v>
      </c>
      <c r="J45" s="56">
        <v>0</v>
      </c>
      <c r="K45" s="56">
        <v>1.154</v>
      </c>
      <c r="L45" s="60">
        <f>+K45-((K45*0.0006*0.125)+(K45*(1-0.0006)*0.26))</f>
        <v>0.8540534739999999</v>
      </c>
      <c r="M45" s="101">
        <f t="shared" si="1"/>
        <v>0.8540534739999999</v>
      </c>
      <c r="N45" s="56" t="s">
        <v>248</v>
      </c>
    </row>
    <row r="46" spans="1:14" s="13" customFormat="1" ht="23.25" customHeight="1">
      <c r="A46" s="19" t="s">
        <v>238</v>
      </c>
      <c r="B46" s="56" t="s">
        <v>207</v>
      </c>
      <c r="C46" s="216" t="s">
        <v>447</v>
      </c>
      <c r="D46" s="56" t="s">
        <v>410</v>
      </c>
      <c r="E46" s="57">
        <v>44012</v>
      </c>
      <c r="F46" s="57">
        <v>44013</v>
      </c>
      <c r="G46" s="57">
        <v>44018</v>
      </c>
      <c r="H46" s="58"/>
      <c r="I46" s="56">
        <v>0.5072</v>
      </c>
      <c r="J46" s="56">
        <v>0</v>
      </c>
      <c r="K46" s="56">
        <v>0.5072</v>
      </c>
      <c r="L46" s="60">
        <f>+K46-((K46*0.9352*0.125)+(K46*(1-0.9352)*0.26))</f>
        <v>0.4393630144</v>
      </c>
      <c r="M46" s="101">
        <f t="shared" si="1"/>
        <v>0.4393630144</v>
      </c>
      <c r="N46" s="56" t="s">
        <v>248</v>
      </c>
    </row>
    <row r="47" spans="1:14" s="13" customFormat="1" ht="23.25" customHeight="1">
      <c r="A47" s="19" t="s">
        <v>240</v>
      </c>
      <c r="B47" s="56" t="s">
        <v>209</v>
      </c>
      <c r="C47" s="216" t="s">
        <v>458</v>
      </c>
      <c r="D47" s="56" t="s">
        <v>410</v>
      </c>
      <c r="E47" s="57">
        <v>44012</v>
      </c>
      <c r="F47" s="57">
        <v>44013</v>
      </c>
      <c r="G47" s="57">
        <v>44018</v>
      </c>
      <c r="H47" s="58"/>
      <c r="I47" s="56">
        <v>0</v>
      </c>
      <c r="J47" s="56">
        <v>0</v>
      </c>
      <c r="K47" s="56">
        <v>0</v>
      </c>
      <c r="L47" s="60">
        <f>+K47-((K47*0.127*0.125)+(K47*(1-0.127)*0.26))</f>
        <v>0</v>
      </c>
      <c r="M47" s="101">
        <f t="shared" si="1"/>
        <v>0</v>
      </c>
      <c r="N47" s="56" t="s">
        <v>248</v>
      </c>
    </row>
    <row r="48" spans="1:14" s="13" customFormat="1" ht="23.25" customHeight="1">
      <c r="A48" s="19" t="s">
        <v>236</v>
      </c>
      <c r="B48" s="56" t="s">
        <v>205</v>
      </c>
      <c r="C48" s="216" t="s">
        <v>448</v>
      </c>
      <c r="D48" s="56" t="s">
        <v>410</v>
      </c>
      <c r="E48" s="57">
        <v>44012</v>
      </c>
      <c r="F48" s="57">
        <v>44013</v>
      </c>
      <c r="G48" s="57">
        <v>44018</v>
      </c>
      <c r="H48" s="58"/>
      <c r="I48" s="56">
        <v>3.8864</v>
      </c>
      <c r="J48" s="56">
        <v>0</v>
      </c>
      <c r="K48" s="56">
        <v>3.8864</v>
      </c>
      <c r="L48" s="60">
        <f>+K48-((K48*0.49965*0.125)+(K48*(1-0.49965)*0.26))</f>
        <v>3.1380843676</v>
      </c>
      <c r="M48" s="101">
        <f t="shared" si="1"/>
        <v>3.1380843676</v>
      </c>
      <c r="N48" s="56" t="s">
        <v>248</v>
      </c>
    </row>
    <row r="49" spans="1:14" s="13" customFormat="1" ht="23.25" customHeight="1">
      <c r="A49" s="19" t="s">
        <v>237</v>
      </c>
      <c r="B49" s="56" t="s">
        <v>206</v>
      </c>
      <c r="C49" s="216" t="s">
        <v>449</v>
      </c>
      <c r="D49" s="56" t="s">
        <v>410</v>
      </c>
      <c r="E49" s="57">
        <v>44012</v>
      </c>
      <c r="F49" s="57">
        <v>44013</v>
      </c>
      <c r="G49" s="57">
        <v>44018</v>
      </c>
      <c r="H49" s="58"/>
      <c r="I49" s="56">
        <v>3.9935</v>
      </c>
      <c r="J49" s="56">
        <v>0</v>
      </c>
      <c r="K49" s="56">
        <v>3.9935</v>
      </c>
      <c r="L49" s="60">
        <f>+K49-((K49*0.49965*0.125)+(K49*(1-0.49965)*0.26))</f>
        <v>3.224562557125</v>
      </c>
      <c r="M49" s="101">
        <f t="shared" si="1"/>
        <v>3.224562557125</v>
      </c>
      <c r="N49" s="56" t="s">
        <v>248</v>
      </c>
    </row>
    <row r="50" spans="1:14" s="13" customFormat="1" ht="23.25" customHeight="1">
      <c r="A50" s="1"/>
      <c r="B50" s="56" t="s">
        <v>508</v>
      </c>
      <c r="C50" s="216" t="s">
        <v>509</v>
      </c>
      <c r="D50" s="56" t="s">
        <v>410</v>
      </c>
      <c r="E50" s="57">
        <v>44012</v>
      </c>
      <c r="F50" s="57">
        <v>44013</v>
      </c>
      <c r="G50" s="57">
        <v>44018</v>
      </c>
      <c r="H50" s="58"/>
      <c r="I50" s="56">
        <v>8.75</v>
      </c>
      <c r="J50" s="56">
        <v>2.90527636598097</v>
      </c>
      <c r="K50" s="56">
        <v>5.84472363401903</v>
      </c>
      <c r="L50" s="60">
        <f>+K50-((K50*0.000000000001*0.125)+(K50*(1-0.000000000001)*0.26))</f>
        <v>4.325095489174871</v>
      </c>
      <c r="M50" s="101">
        <f t="shared" si="1"/>
        <v>7.230371855155841</v>
      </c>
      <c r="N50" s="56" t="s">
        <v>248</v>
      </c>
    </row>
    <row r="51" spans="1:14" s="13" customFormat="1" ht="23.25" customHeight="1">
      <c r="A51" s="1" t="s">
        <v>243</v>
      </c>
      <c r="B51" s="56" t="s">
        <v>212</v>
      </c>
      <c r="C51" s="216" t="s">
        <v>450</v>
      </c>
      <c r="D51" s="56" t="s">
        <v>410</v>
      </c>
      <c r="E51" s="57">
        <v>44012</v>
      </c>
      <c r="F51" s="57">
        <v>44013</v>
      </c>
      <c r="G51" s="57">
        <v>44018</v>
      </c>
      <c r="H51" s="58"/>
      <c r="I51" s="56">
        <v>6.3556</v>
      </c>
      <c r="J51" s="56">
        <v>0</v>
      </c>
      <c r="K51" s="56">
        <v>6.3556</v>
      </c>
      <c r="L51" s="60">
        <f>+K51-((K51*0.000000000001*0.125)+(K51*(1-0.000000000001)*0.26))</f>
        <v>4.703144000000858</v>
      </c>
      <c r="M51" s="101">
        <f t="shared" si="1"/>
        <v>4.703144000000858</v>
      </c>
      <c r="N51" s="56" t="s">
        <v>248</v>
      </c>
    </row>
    <row r="52" spans="1:255" s="13" customFormat="1" ht="23.25" customHeight="1">
      <c r="A52" s="19" t="s">
        <v>239</v>
      </c>
      <c r="B52" s="56" t="s">
        <v>208</v>
      </c>
      <c r="C52" s="216" t="s">
        <v>451</v>
      </c>
      <c r="D52" s="56" t="s">
        <v>410</v>
      </c>
      <c r="E52" s="57">
        <v>44012</v>
      </c>
      <c r="F52" s="57">
        <v>44013</v>
      </c>
      <c r="G52" s="57">
        <v>44018</v>
      </c>
      <c r="H52" s="58"/>
      <c r="I52" s="56">
        <v>6.3273</v>
      </c>
      <c r="J52" s="56">
        <v>0</v>
      </c>
      <c r="K52" s="56">
        <v>6.3273</v>
      </c>
      <c r="L52" s="60">
        <f>+K52-((K52*0.0094*0.125)+(K52*(1-0.0094)*0.26))</f>
        <v>4.6902313437</v>
      </c>
      <c r="M52" s="101">
        <f t="shared" si="1"/>
        <v>4.6902313437</v>
      </c>
      <c r="N52" s="56" t="s">
        <v>248</v>
      </c>
      <c r="IU52" s="22"/>
    </row>
    <row r="53" spans="1:14" s="13" customFormat="1" ht="23.25" customHeight="1">
      <c r="A53" s="19" t="s">
        <v>244</v>
      </c>
      <c r="B53" s="56" t="s">
        <v>213</v>
      </c>
      <c r="C53" s="216" t="s">
        <v>452</v>
      </c>
      <c r="D53" s="56" t="s">
        <v>410</v>
      </c>
      <c r="E53" s="57">
        <v>44012</v>
      </c>
      <c r="F53" s="57">
        <v>44013</v>
      </c>
      <c r="G53" s="57">
        <v>44018</v>
      </c>
      <c r="H53" s="58"/>
      <c r="I53" s="56">
        <v>5.7821</v>
      </c>
      <c r="J53" s="56">
        <v>0</v>
      </c>
      <c r="K53" s="56">
        <v>5.7821</v>
      </c>
      <c r="L53" s="60">
        <f>+K53-((K53*0.0509*0.125)+(K53*(1-0.0509)*0.26))</f>
        <v>4.31848570015</v>
      </c>
      <c r="M53" s="101">
        <f t="shared" si="1"/>
        <v>4.31848570015</v>
      </c>
      <c r="N53" s="56" t="s">
        <v>248</v>
      </c>
    </row>
    <row r="54" spans="1:255" s="13" customFormat="1" ht="23.25" customHeight="1">
      <c r="A54" s="19" t="s">
        <v>241</v>
      </c>
      <c r="B54" s="56" t="s">
        <v>210</v>
      </c>
      <c r="C54" s="216" t="s">
        <v>459</v>
      </c>
      <c r="D54" s="56" t="s">
        <v>410</v>
      </c>
      <c r="E54" s="57">
        <v>44012</v>
      </c>
      <c r="F54" s="57">
        <v>44013</v>
      </c>
      <c r="G54" s="57">
        <v>44018</v>
      </c>
      <c r="H54" s="58"/>
      <c r="I54" s="56">
        <v>12.3733</v>
      </c>
      <c r="J54" s="56">
        <v>0</v>
      </c>
      <c r="K54" s="56">
        <v>12.3733</v>
      </c>
      <c r="L54" s="60">
        <f>+K54-((K54*0.0921*0.125)+(K54*(1-0.0921)*0.26))</f>
        <v>9.31008542555</v>
      </c>
      <c r="M54" s="101">
        <f t="shared" si="1"/>
        <v>9.31008542555</v>
      </c>
      <c r="N54" s="56" t="s">
        <v>248</v>
      </c>
      <c r="IU54" s="22"/>
    </row>
    <row r="55" spans="1:14" s="13" customFormat="1" ht="23.25" customHeight="1">
      <c r="A55" s="19" t="s">
        <v>245</v>
      </c>
      <c r="B55" s="56" t="s">
        <v>214</v>
      </c>
      <c r="C55" s="216" t="s">
        <v>453</v>
      </c>
      <c r="D55" s="56" t="s">
        <v>410</v>
      </c>
      <c r="E55" s="57">
        <v>44012</v>
      </c>
      <c r="F55" s="57">
        <v>44013</v>
      </c>
      <c r="G55" s="57">
        <v>44018</v>
      </c>
      <c r="H55" s="58"/>
      <c r="I55" s="56">
        <v>10.5476</v>
      </c>
      <c r="J55" s="56">
        <v>0</v>
      </c>
      <c r="K55" s="56">
        <v>10.5476</v>
      </c>
      <c r="L55" s="60">
        <f>+K55-((K55*0.078*0.125)+(K55*(1-0.078)*0.26))</f>
        <v>7.916290227999999</v>
      </c>
      <c r="M55" s="101">
        <f t="shared" si="1"/>
        <v>7.916290227999999</v>
      </c>
      <c r="N55" s="56" t="s">
        <v>248</v>
      </c>
    </row>
    <row r="56" spans="1:14" s="13" customFormat="1" ht="23.25" customHeight="1">
      <c r="A56" s="19" t="s">
        <v>242</v>
      </c>
      <c r="B56" s="56" t="s">
        <v>211</v>
      </c>
      <c r="C56" s="216" t="s">
        <v>460</v>
      </c>
      <c r="D56" s="56" t="s">
        <v>410</v>
      </c>
      <c r="E56" s="57">
        <v>44012</v>
      </c>
      <c r="F56" s="57">
        <v>44013</v>
      </c>
      <c r="G56" s="57">
        <v>44018</v>
      </c>
      <c r="H56" s="58"/>
      <c r="I56" s="56">
        <v>0</v>
      </c>
      <c r="J56" s="56">
        <v>0</v>
      </c>
      <c r="K56" s="56">
        <v>0</v>
      </c>
      <c r="L56" s="60">
        <f>+K56-((K56*0.1243*0.125)+(K56*(1-0.1243)*0.26))</f>
        <v>0</v>
      </c>
      <c r="M56" s="101">
        <f t="shared" si="1"/>
        <v>0</v>
      </c>
      <c r="N56" s="56" t="s">
        <v>248</v>
      </c>
    </row>
    <row r="57" spans="1:14" s="62" customFormat="1" ht="23.25" customHeight="1">
      <c r="A57" s="40" t="s">
        <v>226</v>
      </c>
      <c r="B57" s="56" t="s">
        <v>225</v>
      </c>
      <c r="C57" s="216" t="s">
        <v>454</v>
      </c>
      <c r="D57" s="56" t="s">
        <v>410</v>
      </c>
      <c r="E57" s="78">
        <v>44039</v>
      </c>
      <c r="F57" s="78">
        <v>44040</v>
      </c>
      <c r="G57" s="78">
        <v>44043</v>
      </c>
      <c r="H57" s="58"/>
      <c r="I57" s="56">
        <v>7.1941</v>
      </c>
      <c r="J57" s="56">
        <v>0</v>
      </c>
      <c r="K57" s="56">
        <v>7.1941</v>
      </c>
      <c r="L57" s="60">
        <f>+K57-((K57*0.000000000001*0.125)+(K57*(1-0.000000000001)*0.26))</f>
        <v>5.323634000000971</v>
      </c>
      <c r="M57" s="101">
        <f t="shared" si="1"/>
        <v>5.323634000000971</v>
      </c>
      <c r="N57" s="104" t="s">
        <v>249</v>
      </c>
    </row>
    <row r="58" spans="1:14" s="62" customFormat="1" ht="23.25" customHeight="1">
      <c r="A58" s="40" t="s">
        <v>224</v>
      </c>
      <c r="B58" s="56" t="s">
        <v>223</v>
      </c>
      <c r="C58" s="216" t="s">
        <v>490</v>
      </c>
      <c r="D58" s="56" t="s">
        <v>413</v>
      </c>
      <c r="E58" s="78">
        <v>44039</v>
      </c>
      <c r="F58" s="78">
        <v>44040</v>
      </c>
      <c r="G58" s="78">
        <v>44043</v>
      </c>
      <c r="H58" s="58"/>
      <c r="I58" s="56">
        <v>18.9706</v>
      </c>
      <c r="J58" s="56">
        <v>0</v>
      </c>
      <c r="K58" s="56">
        <v>18.9706</v>
      </c>
      <c r="L58" s="60">
        <f>+K58-((K58*0.000000000001*0.125)+(K58*(1-0.000000000001)*0.26))</f>
        <v>14.038244000002562</v>
      </c>
      <c r="M58" s="101">
        <f t="shared" si="1"/>
        <v>14.038244000002562</v>
      </c>
      <c r="N58" s="104" t="s">
        <v>250</v>
      </c>
    </row>
    <row r="59" spans="1:14" s="62" customFormat="1" ht="23.25" customHeight="1">
      <c r="A59" s="40" t="s">
        <v>220</v>
      </c>
      <c r="B59" s="56" t="s">
        <v>219</v>
      </c>
      <c r="C59" s="216" t="s">
        <v>487</v>
      </c>
      <c r="D59" s="56" t="s">
        <v>410</v>
      </c>
      <c r="E59" s="78">
        <v>44039</v>
      </c>
      <c r="F59" s="78">
        <v>44040</v>
      </c>
      <c r="G59" s="78">
        <v>44043</v>
      </c>
      <c r="H59" s="58"/>
      <c r="I59" s="56">
        <v>8.3063</v>
      </c>
      <c r="J59" s="56">
        <v>0</v>
      </c>
      <c r="K59" s="56">
        <v>8.3063</v>
      </c>
      <c r="L59" s="60">
        <f>+K59-((K59*0.000000000001*0.125)+(K59*(1-0.000000000001)*0.26))</f>
        <v>6.146662000001122</v>
      </c>
      <c r="M59" s="101">
        <f t="shared" si="1"/>
        <v>6.146662000001122</v>
      </c>
      <c r="N59" s="104" t="s">
        <v>249</v>
      </c>
    </row>
    <row r="60" spans="1:14" s="62" customFormat="1" ht="23.25" customHeight="1">
      <c r="A60" s="40" t="s">
        <v>222</v>
      </c>
      <c r="B60" s="56" t="s">
        <v>221</v>
      </c>
      <c r="C60" s="216" t="s">
        <v>486</v>
      </c>
      <c r="D60" s="56" t="s">
        <v>410</v>
      </c>
      <c r="E60" s="78">
        <v>44039</v>
      </c>
      <c r="F60" s="78">
        <v>44040</v>
      </c>
      <c r="G60" s="78">
        <v>44043</v>
      </c>
      <c r="H60" s="58"/>
      <c r="I60" s="56">
        <v>11.4251</v>
      </c>
      <c r="J60" s="56">
        <v>0</v>
      </c>
      <c r="K60" s="56">
        <v>11.4251</v>
      </c>
      <c r="L60" s="60">
        <f>+K60-((K60*0.000000000001*0.125)+(K60*(1-0.000000000001)*0.26))</f>
        <v>8.454574000001543</v>
      </c>
      <c r="M60" s="101">
        <f t="shared" si="1"/>
        <v>8.454574000001543</v>
      </c>
      <c r="N60" s="104" t="s">
        <v>249</v>
      </c>
    </row>
    <row r="61" spans="1:14" s="62" customFormat="1" ht="23.25" customHeight="1">
      <c r="A61" s="40"/>
      <c r="B61" s="56" t="s">
        <v>488</v>
      </c>
      <c r="C61" s="216" t="s">
        <v>489</v>
      </c>
      <c r="D61" s="56" t="s">
        <v>413</v>
      </c>
      <c r="E61" s="78">
        <v>44039</v>
      </c>
      <c r="F61" s="78">
        <v>44040</v>
      </c>
      <c r="G61" s="78">
        <v>44043</v>
      </c>
      <c r="H61" s="58"/>
      <c r="I61" s="56">
        <v>22.2986</v>
      </c>
      <c r="J61" s="56">
        <v>3.1004955</v>
      </c>
      <c r="K61" s="56">
        <v>22.2986</v>
      </c>
      <c r="L61" s="60">
        <f>+K61-((K61*0.000000000001*0.125)+(K61*(1-0.000000000001)*0.26))</f>
        <v>16.50096400000301</v>
      </c>
      <c r="M61" s="101">
        <f t="shared" si="1"/>
        <v>19.60145950000301</v>
      </c>
      <c r="N61" s="104" t="s">
        <v>250</v>
      </c>
    </row>
    <row r="62" spans="1:14" s="62" customFormat="1" ht="23.25" customHeight="1">
      <c r="A62" s="63"/>
      <c r="B62" s="56" t="s">
        <v>491</v>
      </c>
      <c r="C62" s="216" t="s">
        <v>525</v>
      </c>
      <c r="D62" s="56" t="s">
        <v>413</v>
      </c>
      <c r="E62" s="78">
        <v>44039</v>
      </c>
      <c r="F62" s="78">
        <v>44040</v>
      </c>
      <c r="G62" s="78">
        <v>44043</v>
      </c>
      <c r="H62" s="58"/>
      <c r="I62" s="56">
        <v>21.8705</v>
      </c>
      <c r="J62" s="56">
        <v>2.707699717645412</v>
      </c>
      <c r="K62" s="56">
        <v>21.8705</v>
      </c>
      <c r="L62" s="60">
        <f>+K62-((K62*0.2536*0.125)+(K62*(1-0.2536)*0.26))</f>
        <v>16.932928437999998</v>
      </c>
      <c r="M62" s="101">
        <f t="shared" si="1"/>
        <v>19.64062815564541</v>
      </c>
      <c r="N62" s="104" t="s">
        <v>250</v>
      </c>
    </row>
    <row r="63" spans="1:14" s="62" customFormat="1" ht="23.25" customHeight="1">
      <c r="A63" s="63" t="s">
        <v>232</v>
      </c>
      <c r="B63" s="56" t="s">
        <v>218</v>
      </c>
      <c r="C63" s="216" t="s">
        <v>455</v>
      </c>
      <c r="D63" s="56" t="s">
        <v>413</v>
      </c>
      <c r="E63" s="78">
        <v>44039</v>
      </c>
      <c r="F63" s="78">
        <v>44040</v>
      </c>
      <c r="G63" s="78">
        <v>44043</v>
      </c>
      <c r="H63" s="58"/>
      <c r="I63" s="56">
        <v>23.13</v>
      </c>
      <c r="J63" s="56">
        <v>2.5680446200000016</v>
      </c>
      <c r="K63" s="56">
        <v>23.13</v>
      </c>
      <c r="L63" s="60">
        <f>+K63-((K63*0.2536*0.125)+(K63*(1-0.2536)*0.26))</f>
        <v>17.90807868</v>
      </c>
      <c r="M63" s="101">
        <f t="shared" si="1"/>
        <v>20.4761233</v>
      </c>
      <c r="N63" s="104" t="s">
        <v>250</v>
      </c>
    </row>
    <row r="64" spans="1:14" s="13" customFormat="1" ht="24.75" customHeight="1">
      <c r="A64" s="56"/>
      <c r="B64" s="56" t="s">
        <v>293</v>
      </c>
      <c r="C64" s="216" t="s">
        <v>558</v>
      </c>
      <c r="D64" s="56" t="s">
        <v>412</v>
      </c>
      <c r="E64" s="78">
        <v>44095</v>
      </c>
      <c r="F64" s="78">
        <v>44096</v>
      </c>
      <c r="G64" s="78">
        <v>44099</v>
      </c>
      <c r="H64" s="58"/>
      <c r="I64" s="104">
        <v>5.33</v>
      </c>
      <c r="J64" s="104">
        <v>0</v>
      </c>
      <c r="K64" s="104">
        <v>5.33</v>
      </c>
      <c r="L64" s="60">
        <f>+K64-((K64*0.0187*0.125)+(K64*(1-0.0187)*0.26))</f>
        <v>3.957655585</v>
      </c>
      <c r="M64" s="101">
        <f t="shared" si="1"/>
        <v>3.957655585</v>
      </c>
      <c r="N64" s="56" t="s">
        <v>288</v>
      </c>
    </row>
    <row r="65" spans="1:14" s="13" customFormat="1" ht="24.75" customHeight="1">
      <c r="A65" s="56"/>
      <c r="B65" s="56" t="s">
        <v>295</v>
      </c>
      <c r="C65" s="216" t="s">
        <v>462</v>
      </c>
      <c r="D65" s="56" t="s">
        <v>412</v>
      </c>
      <c r="E65" s="78">
        <v>44095</v>
      </c>
      <c r="F65" s="78">
        <v>44096</v>
      </c>
      <c r="G65" s="78">
        <v>44099</v>
      </c>
      <c r="H65" s="58"/>
      <c r="I65" s="104">
        <v>80.89</v>
      </c>
      <c r="J65" s="104">
        <v>0</v>
      </c>
      <c r="K65" s="104">
        <v>80.89</v>
      </c>
      <c r="L65" s="60">
        <f>+K65-((K65*0.3017*0.125)+(K65*(1-0.3017)*0.26))</f>
        <v>63.15320925500001</v>
      </c>
      <c r="M65" s="101">
        <f t="shared" si="1"/>
        <v>63.15320925500001</v>
      </c>
      <c r="N65" s="56" t="s">
        <v>288</v>
      </c>
    </row>
    <row r="66" spans="1:14" s="13" customFormat="1" ht="24.75" customHeight="1">
      <c r="A66" s="56"/>
      <c r="B66" s="56" t="s">
        <v>561</v>
      </c>
      <c r="C66" s="216" t="s">
        <v>565</v>
      </c>
      <c r="D66" s="56" t="s">
        <v>412</v>
      </c>
      <c r="E66" s="78">
        <v>44095</v>
      </c>
      <c r="F66" s="78">
        <v>44096</v>
      </c>
      <c r="G66" s="78">
        <v>44099</v>
      </c>
      <c r="H66" s="58"/>
      <c r="I66" s="104">
        <v>37.25</v>
      </c>
      <c r="J66" s="104">
        <v>0</v>
      </c>
      <c r="K66" s="104">
        <v>37.25</v>
      </c>
      <c r="L66" s="60">
        <f>+K66-((K66*0.402*0.125)+(K66*(1-0.402)*0.26))</f>
        <v>29.5865575</v>
      </c>
      <c r="M66" s="101">
        <f t="shared" si="1"/>
        <v>29.5865575</v>
      </c>
      <c r="N66" s="56" t="s">
        <v>288</v>
      </c>
    </row>
    <row r="67" spans="1:14" s="13" customFormat="1" ht="24.75" customHeight="1">
      <c r="A67" s="56"/>
      <c r="B67" s="56" t="s">
        <v>297</v>
      </c>
      <c r="C67" s="216" t="s">
        <v>464</v>
      </c>
      <c r="D67" s="56" t="s">
        <v>412</v>
      </c>
      <c r="E67" s="78">
        <v>44095</v>
      </c>
      <c r="F67" s="78">
        <v>44096</v>
      </c>
      <c r="G67" s="78">
        <v>44099</v>
      </c>
      <c r="H67" s="58"/>
      <c r="I67" s="104">
        <v>54.34</v>
      </c>
      <c r="J67" s="104">
        <v>0</v>
      </c>
      <c r="K67" s="104">
        <v>54.34</v>
      </c>
      <c r="L67" s="60">
        <f>+K67-((K67*0.7742*0.125)+(K67*(1-0.7742)*0.26))</f>
        <v>45.89105378000001</v>
      </c>
      <c r="M67" s="101">
        <f t="shared" si="1"/>
        <v>45.89105378000001</v>
      </c>
      <c r="N67" s="56" t="s">
        <v>288</v>
      </c>
    </row>
    <row r="68" spans="1:14" s="13" customFormat="1" ht="24.75" customHeight="1">
      <c r="A68" s="56"/>
      <c r="B68" s="56" t="s">
        <v>290</v>
      </c>
      <c r="C68" s="216" t="s">
        <v>461</v>
      </c>
      <c r="D68" s="56" t="s">
        <v>412</v>
      </c>
      <c r="E68" s="78">
        <v>44095</v>
      </c>
      <c r="F68" s="78">
        <v>44096</v>
      </c>
      <c r="G68" s="78">
        <v>44099</v>
      </c>
      <c r="H68" s="58"/>
      <c r="I68" s="104">
        <v>10.38</v>
      </c>
      <c r="J68" s="104">
        <v>0</v>
      </c>
      <c r="K68" s="104">
        <v>10.38</v>
      </c>
      <c r="L68" s="60">
        <f>+K68-((K68*0.5914*0.125)+(K68*(1-0.5914)*0.26))</f>
        <v>8.50992882</v>
      </c>
      <c r="M68" s="101">
        <f t="shared" si="1"/>
        <v>8.50992882</v>
      </c>
      <c r="N68" s="56" t="s">
        <v>288</v>
      </c>
    </row>
    <row r="69" spans="1:14" s="13" customFormat="1" ht="24.75" customHeight="1">
      <c r="A69" s="56"/>
      <c r="B69" s="56" t="s">
        <v>291</v>
      </c>
      <c r="C69" s="216" t="s">
        <v>463</v>
      </c>
      <c r="D69" s="56" t="s">
        <v>412</v>
      </c>
      <c r="E69" s="78">
        <v>44095</v>
      </c>
      <c r="F69" s="78">
        <v>44096</v>
      </c>
      <c r="G69" s="78">
        <v>44099</v>
      </c>
      <c r="H69" s="58"/>
      <c r="I69" s="104">
        <v>13.6</v>
      </c>
      <c r="J69" s="104">
        <v>0</v>
      </c>
      <c r="K69" s="104">
        <v>13.6</v>
      </c>
      <c r="L69" s="60">
        <f>+K69-((K69*0.0006*0.125)+(K69*(1-0.0006)*0.26))</f>
        <v>10.0651016</v>
      </c>
      <c r="M69" s="101">
        <f t="shared" si="1"/>
        <v>10.0651016</v>
      </c>
      <c r="N69" s="56" t="s">
        <v>288</v>
      </c>
    </row>
    <row r="70" spans="1:14" s="13" customFormat="1" ht="24.75" customHeight="1">
      <c r="A70" s="56"/>
      <c r="B70" s="56" t="s">
        <v>560</v>
      </c>
      <c r="C70" s="216" t="s">
        <v>564</v>
      </c>
      <c r="D70" s="56" t="s">
        <v>412</v>
      </c>
      <c r="E70" s="78">
        <v>44095</v>
      </c>
      <c r="F70" s="78">
        <v>44096</v>
      </c>
      <c r="G70" s="78">
        <v>44099</v>
      </c>
      <c r="H70" s="58"/>
      <c r="I70" s="104">
        <v>28.13</v>
      </c>
      <c r="J70" s="104">
        <v>0</v>
      </c>
      <c r="K70" s="104">
        <v>28.13</v>
      </c>
      <c r="L70" s="60">
        <f>+K70-((K70*0.0000000001*0.125)+(K70*(1-0.0000000001)*0.26))</f>
        <v>20.81620000037975</v>
      </c>
      <c r="M70" s="101">
        <f aca="true" t="shared" si="2" ref="M70:M101">L70+J70</f>
        <v>20.81620000037975</v>
      </c>
      <c r="N70" s="56" t="s">
        <v>288</v>
      </c>
    </row>
    <row r="71" spans="1:14" s="13" customFormat="1" ht="24.75" customHeight="1">
      <c r="A71" s="56"/>
      <c r="B71" s="56" t="s">
        <v>294</v>
      </c>
      <c r="C71" s="216" t="s">
        <v>465</v>
      </c>
      <c r="D71" s="56" t="s">
        <v>412</v>
      </c>
      <c r="E71" s="78">
        <v>44095</v>
      </c>
      <c r="F71" s="78">
        <v>44096</v>
      </c>
      <c r="G71" s="78">
        <v>44099</v>
      </c>
      <c r="H71" s="58"/>
      <c r="I71" s="104">
        <v>43.1</v>
      </c>
      <c r="J71" s="104">
        <v>0</v>
      </c>
      <c r="K71" s="104">
        <v>43.1</v>
      </c>
      <c r="L71" s="60">
        <f>+K71-((K71*0.127*0.125)+(K71*(1-0.127)*0.26))</f>
        <v>32.6329495</v>
      </c>
      <c r="M71" s="101">
        <f t="shared" si="2"/>
        <v>32.6329495</v>
      </c>
      <c r="N71" s="56" t="s">
        <v>288</v>
      </c>
    </row>
    <row r="72" spans="1:14" s="13" customFormat="1" ht="24.75" customHeight="1">
      <c r="A72" s="141"/>
      <c r="B72" s="56" t="s">
        <v>559</v>
      </c>
      <c r="C72" s="216" t="s">
        <v>563</v>
      </c>
      <c r="D72" s="56" t="s">
        <v>412</v>
      </c>
      <c r="E72" s="78">
        <v>44095</v>
      </c>
      <c r="F72" s="78">
        <v>44096</v>
      </c>
      <c r="G72" s="78">
        <v>44099</v>
      </c>
      <c r="H72" s="58"/>
      <c r="I72" s="104">
        <v>20.61</v>
      </c>
      <c r="J72" s="104">
        <v>0</v>
      </c>
      <c r="K72" s="104">
        <v>20.61</v>
      </c>
      <c r="L72" s="60">
        <f>+K72-((K72*0.4996*0.125)+(K72*(1-0.4996)*0.26))</f>
        <v>16.64146206</v>
      </c>
      <c r="M72" s="101">
        <f t="shared" si="2"/>
        <v>16.64146206</v>
      </c>
      <c r="N72" s="56" t="s">
        <v>288</v>
      </c>
    </row>
    <row r="73" spans="1:14" s="13" customFormat="1" ht="24.75" customHeight="1">
      <c r="A73" s="141"/>
      <c r="B73" s="56" t="s">
        <v>292</v>
      </c>
      <c r="C73" s="216" t="s">
        <v>499</v>
      </c>
      <c r="D73" s="56" t="s">
        <v>412</v>
      </c>
      <c r="E73" s="78">
        <v>44095</v>
      </c>
      <c r="F73" s="78">
        <v>44096</v>
      </c>
      <c r="G73" s="78">
        <v>44099</v>
      </c>
      <c r="H73" s="58"/>
      <c r="I73" s="104">
        <v>2.84</v>
      </c>
      <c r="J73" s="104">
        <v>0</v>
      </c>
      <c r="K73" s="104">
        <v>2.84</v>
      </c>
      <c r="L73" s="60">
        <f>+K73-((K73*0.619*0.125)+(K73*(1-0.619)*0.26))</f>
        <v>2.3389246</v>
      </c>
      <c r="M73" s="101">
        <f t="shared" si="2"/>
        <v>2.3389246</v>
      </c>
      <c r="N73" s="56" t="s">
        <v>288</v>
      </c>
    </row>
    <row r="74" spans="1:14" s="13" customFormat="1" ht="24.75" customHeight="1">
      <c r="A74" s="141"/>
      <c r="B74" s="56" t="s">
        <v>562</v>
      </c>
      <c r="C74" s="216" t="s">
        <v>566</v>
      </c>
      <c r="D74" s="56" t="s">
        <v>412</v>
      </c>
      <c r="E74" s="78">
        <v>44095</v>
      </c>
      <c r="F74" s="78">
        <v>44096</v>
      </c>
      <c r="G74" s="78">
        <v>44099</v>
      </c>
      <c r="H74" s="58"/>
      <c r="I74" s="104">
        <v>7.25</v>
      </c>
      <c r="J74" s="104">
        <v>0</v>
      </c>
      <c r="K74" s="104">
        <v>7.25</v>
      </c>
      <c r="L74" s="60">
        <f>+K74-((K74*0.2663*0.125)+(K74*(1-0.2663)*0.26))</f>
        <v>5.625641125</v>
      </c>
      <c r="M74" s="101">
        <f t="shared" si="2"/>
        <v>5.625641125</v>
      </c>
      <c r="N74" s="56" t="s">
        <v>288</v>
      </c>
    </row>
    <row r="75" spans="1:14" s="13" customFormat="1" ht="24.75" customHeight="1">
      <c r="A75" s="141"/>
      <c r="B75" s="56" t="s">
        <v>296</v>
      </c>
      <c r="C75" s="216" t="s">
        <v>466</v>
      </c>
      <c r="D75" s="56" t="s">
        <v>412</v>
      </c>
      <c r="E75" s="78">
        <v>44095</v>
      </c>
      <c r="F75" s="78">
        <v>44096</v>
      </c>
      <c r="G75" s="78">
        <v>44099</v>
      </c>
      <c r="H75" s="58"/>
      <c r="I75" s="104">
        <v>73.11</v>
      </c>
      <c r="J75" s="104">
        <v>0</v>
      </c>
      <c r="K75" s="104">
        <v>73.11</v>
      </c>
      <c r="L75" s="60">
        <f>+K75-((K75*0.0921*0.125)+(K75*(1-0.0921)*0.26))</f>
        <v>55.010413185</v>
      </c>
      <c r="M75" s="101">
        <f t="shared" si="2"/>
        <v>55.010413185</v>
      </c>
      <c r="N75" s="56" t="s">
        <v>288</v>
      </c>
    </row>
    <row r="76" spans="1:14" s="13" customFormat="1" ht="23.25" customHeight="1">
      <c r="A76" s="43" t="s">
        <v>246</v>
      </c>
      <c r="B76" s="56" t="s">
        <v>216</v>
      </c>
      <c r="C76" s="216" t="s">
        <v>456</v>
      </c>
      <c r="D76" s="56" t="s">
        <v>410</v>
      </c>
      <c r="E76" s="78">
        <v>44103</v>
      </c>
      <c r="F76" s="78">
        <v>44104</v>
      </c>
      <c r="G76" s="78">
        <v>44109</v>
      </c>
      <c r="H76" s="58"/>
      <c r="I76" s="104">
        <v>0</v>
      </c>
      <c r="J76" s="104">
        <v>0</v>
      </c>
      <c r="K76" s="104">
        <v>0</v>
      </c>
      <c r="L76" s="60">
        <f>+K76-((K76*0.082*0.125)+(K76*(1-0.082)*0.26))</f>
        <v>0</v>
      </c>
      <c r="M76" s="101">
        <f t="shared" si="2"/>
        <v>0</v>
      </c>
      <c r="N76" s="56" t="s">
        <v>247</v>
      </c>
    </row>
    <row r="77" spans="1:14" s="13" customFormat="1" ht="23.25" customHeight="1">
      <c r="A77" s="19" t="s">
        <v>233</v>
      </c>
      <c r="B77" s="56" t="s">
        <v>215</v>
      </c>
      <c r="C77" s="216" t="s">
        <v>457</v>
      </c>
      <c r="D77" s="56" t="s">
        <v>410</v>
      </c>
      <c r="E77" s="57">
        <v>44104</v>
      </c>
      <c r="F77" s="57">
        <v>44105</v>
      </c>
      <c r="G77" s="57">
        <v>44110</v>
      </c>
      <c r="H77" s="58"/>
      <c r="I77" s="104">
        <v>0</v>
      </c>
      <c r="J77" s="104">
        <v>0</v>
      </c>
      <c r="K77" s="104">
        <v>0</v>
      </c>
      <c r="L77" s="60">
        <f>+K77-((K77*0.3017*0.125)+(K77*(1-0.3017)*0.26))</f>
        <v>0</v>
      </c>
      <c r="M77" s="101">
        <f t="shared" si="2"/>
        <v>0</v>
      </c>
      <c r="N77" s="56" t="s">
        <v>248</v>
      </c>
    </row>
    <row r="78" spans="1:14" s="13" customFormat="1" ht="23.25" customHeight="1">
      <c r="A78" s="19" t="s">
        <v>234</v>
      </c>
      <c r="B78" s="56" t="s">
        <v>203</v>
      </c>
      <c r="C78" s="216" t="s">
        <v>445</v>
      </c>
      <c r="D78" s="56" t="s">
        <v>410</v>
      </c>
      <c r="E78" s="57">
        <v>44104</v>
      </c>
      <c r="F78" s="57">
        <v>44105</v>
      </c>
      <c r="G78" s="57">
        <v>44110</v>
      </c>
      <c r="H78" s="58"/>
      <c r="I78" s="56">
        <v>1.0163</v>
      </c>
      <c r="J78" s="56">
        <v>0</v>
      </c>
      <c r="K78" s="56">
        <v>1.0163</v>
      </c>
      <c r="L78" s="60">
        <f>+K78-((K78*0.5914*0.125)+(K78*(1-0.5914)*0.26))</f>
        <v>0.8332023757</v>
      </c>
      <c r="M78" s="101">
        <f t="shared" si="2"/>
        <v>0.8332023757</v>
      </c>
      <c r="N78" s="56" t="s">
        <v>248</v>
      </c>
    </row>
    <row r="79" spans="1:14" s="13" customFormat="1" ht="23.25" customHeight="1">
      <c r="A79" s="19" t="s">
        <v>235</v>
      </c>
      <c r="B79" s="56" t="s">
        <v>204</v>
      </c>
      <c r="C79" s="216" t="s">
        <v>446</v>
      </c>
      <c r="D79" s="56" t="s">
        <v>410</v>
      </c>
      <c r="E79" s="57">
        <v>44104</v>
      </c>
      <c r="F79" s="57">
        <v>44105</v>
      </c>
      <c r="G79" s="57">
        <v>44110</v>
      </c>
      <c r="H79" s="58"/>
      <c r="I79" s="56">
        <v>1.154</v>
      </c>
      <c r="J79" s="56">
        <v>0</v>
      </c>
      <c r="K79" s="56">
        <v>1.154</v>
      </c>
      <c r="L79" s="60">
        <f>+K79-((K79*0.0006*0.125)+(K79*(1-0.0006)*0.26))</f>
        <v>0.8540534739999999</v>
      </c>
      <c r="M79" s="101">
        <f t="shared" si="2"/>
        <v>0.8540534739999999</v>
      </c>
      <c r="N79" s="56" t="s">
        <v>248</v>
      </c>
    </row>
    <row r="80" spans="1:14" s="13" customFormat="1" ht="23.25" customHeight="1">
      <c r="A80" s="19" t="s">
        <v>238</v>
      </c>
      <c r="B80" s="56" t="s">
        <v>207</v>
      </c>
      <c r="C80" s="216" t="s">
        <v>447</v>
      </c>
      <c r="D80" s="56" t="s">
        <v>410</v>
      </c>
      <c r="E80" s="57">
        <v>44104</v>
      </c>
      <c r="F80" s="57">
        <v>44105</v>
      </c>
      <c r="G80" s="57">
        <v>44110</v>
      </c>
      <c r="H80" s="58"/>
      <c r="I80" s="56">
        <v>0.5072</v>
      </c>
      <c r="J80" s="56">
        <v>0</v>
      </c>
      <c r="K80" s="56">
        <v>0.5072</v>
      </c>
      <c r="L80" s="60">
        <f>+K80-((K80*0.9352*0.125)+(K80*(1-0.9352)*0.26))</f>
        <v>0.4393630144</v>
      </c>
      <c r="M80" s="101">
        <f t="shared" si="2"/>
        <v>0.4393630144</v>
      </c>
      <c r="N80" s="56" t="s">
        <v>248</v>
      </c>
    </row>
    <row r="81" spans="1:14" s="13" customFormat="1" ht="23.25" customHeight="1">
      <c r="A81" s="19" t="s">
        <v>240</v>
      </c>
      <c r="B81" s="56" t="s">
        <v>209</v>
      </c>
      <c r="C81" s="216" t="s">
        <v>458</v>
      </c>
      <c r="D81" s="56" t="s">
        <v>410</v>
      </c>
      <c r="E81" s="57">
        <v>44104</v>
      </c>
      <c r="F81" s="57">
        <v>44105</v>
      </c>
      <c r="G81" s="57">
        <v>44110</v>
      </c>
      <c r="H81" s="58"/>
      <c r="I81" s="104">
        <v>0</v>
      </c>
      <c r="J81" s="104">
        <v>0</v>
      </c>
      <c r="K81" s="104">
        <v>0</v>
      </c>
      <c r="L81" s="60">
        <f>+K81-((K81*0.127*0.125)+(K81*(1-0.127)*0.26))</f>
        <v>0</v>
      </c>
      <c r="M81" s="101">
        <f t="shared" si="2"/>
        <v>0</v>
      </c>
      <c r="N81" s="56" t="s">
        <v>248</v>
      </c>
    </row>
    <row r="82" spans="1:14" s="13" customFormat="1" ht="23.25" customHeight="1">
      <c r="A82" s="19" t="s">
        <v>236</v>
      </c>
      <c r="B82" s="56" t="s">
        <v>205</v>
      </c>
      <c r="C82" s="216" t="s">
        <v>448</v>
      </c>
      <c r="D82" s="56" t="s">
        <v>410</v>
      </c>
      <c r="E82" s="57">
        <v>44104</v>
      </c>
      <c r="F82" s="57">
        <v>44105</v>
      </c>
      <c r="G82" s="57">
        <v>44110</v>
      </c>
      <c r="H82" s="58"/>
      <c r="I82" s="56">
        <v>3.8864</v>
      </c>
      <c r="J82" s="56">
        <v>0</v>
      </c>
      <c r="K82" s="56">
        <v>3.8864</v>
      </c>
      <c r="L82" s="60">
        <f>+K82-((K82*0.49965*0.125)+(K82*(1-0.49965)*0.26))</f>
        <v>3.1380843676</v>
      </c>
      <c r="M82" s="101">
        <f t="shared" si="2"/>
        <v>3.1380843676</v>
      </c>
      <c r="N82" s="56" t="s">
        <v>248</v>
      </c>
    </row>
    <row r="83" spans="1:14" s="13" customFormat="1" ht="23.25" customHeight="1">
      <c r="A83" s="1" t="s">
        <v>237</v>
      </c>
      <c r="B83" s="56" t="s">
        <v>206</v>
      </c>
      <c r="C83" s="216" t="s">
        <v>449</v>
      </c>
      <c r="D83" s="56" t="s">
        <v>410</v>
      </c>
      <c r="E83" s="57">
        <v>44104</v>
      </c>
      <c r="F83" s="57">
        <v>44105</v>
      </c>
      <c r="G83" s="57">
        <v>44110</v>
      </c>
      <c r="H83" s="58"/>
      <c r="I83" s="56">
        <v>3.9935</v>
      </c>
      <c r="J83" s="56">
        <v>0</v>
      </c>
      <c r="K83" s="56">
        <v>3.9935</v>
      </c>
      <c r="L83" s="60">
        <f>+K83-((K83*0.49965*0.125)+(K83*(1-0.49965)*0.26))</f>
        <v>3.224562557125</v>
      </c>
      <c r="M83" s="101">
        <f t="shared" si="2"/>
        <v>3.224562557125</v>
      </c>
      <c r="N83" s="56" t="s">
        <v>248</v>
      </c>
    </row>
    <row r="84" spans="1:255" s="13" customFormat="1" ht="24.75" customHeight="1">
      <c r="A84" s="12"/>
      <c r="B84" s="56" t="s">
        <v>508</v>
      </c>
      <c r="C84" s="216" t="s">
        <v>509</v>
      </c>
      <c r="D84" s="56" t="s">
        <v>410</v>
      </c>
      <c r="E84" s="57">
        <v>44104</v>
      </c>
      <c r="F84" s="57">
        <v>44105</v>
      </c>
      <c r="G84" s="57">
        <v>44110</v>
      </c>
      <c r="H84" s="58"/>
      <c r="I84" s="56">
        <v>8.75</v>
      </c>
      <c r="J84" s="56">
        <v>3.441127133667162</v>
      </c>
      <c r="K84" s="56">
        <v>5.308872866332838</v>
      </c>
      <c r="L84" s="60">
        <f>+K84-((K84*0.000000000001*0.125)+(K84*(1-0.000000000001)*0.26))</f>
        <v>3.928565921087017</v>
      </c>
      <c r="M84" s="101">
        <f t="shared" si="2"/>
        <v>7.36969305475418</v>
      </c>
      <c r="N84" s="56" t="s">
        <v>248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</row>
    <row r="85" spans="1:14" s="13" customFormat="1" ht="24.75" customHeight="1">
      <c r="A85" s="1" t="s">
        <v>243</v>
      </c>
      <c r="B85" s="56" t="s">
        <v>212</v>
      </c>
      <c r="C85" s="216" t="s">
        <v>450</v>
      </c>
      <c r="D85" s="56" t="s">
        <v>410</v>
      </c>
      <c r="E85" s="57">
        <v>44104</v>
      </c>
      <c r="F85" s="57">
        <v>44105</v>
      </c>
      <c r="G85" s="57">
        <v>44110</v>
      </c>
      <c r="H85" s="58"/>
      <c r="I85" s="56">
        <v>6.3556</v>
      </c>
      <c r="J85" s="56">
        <v>0</v>
      </c>
      <c r="K85" s="56">
        <v>6.3556</v>
      </c>
      <c r="L85" s="60">
        <f>+K85-((K85*0.000000000001*0.125)+(K85*(1-0.000000000001)*0.26))</f>
        <v>4.703144000000858</v>
      </c>
      <c r="M85" s="101">
        <f t="shared" si="2"/>
        <v>4.703144000000858</v>
      </c>
      <c r="N85" s="56" t="s">
        <v>248</v>
      </c>
    </row>
    <row r="86" spans="1:14" s="13" customFormat="1" ht="24.75" customHeight="1">
      <c r="A86" s="1" t="s">
        <v>239</v>
      </c>
      <c r="B86" s="56" t="s">
        <v>208</v>
      </c>
      <c r="C86" s="216" t="s">
        <v>451</v>
      </c>
      <c r="D86" s="56" t="s">
        <v>410</v>
      </c>
      <c r="E86" s="57">
        <v>44104</v>
      </c>
      <c r="F86" s="57">
        <v>44105</v>
      </c>
      <c r="G86" s="57">
        <v>44110</v>
      </c>
      <c r="H86" s="58"/>
      <c r="I86" s="56">
        <v>6.3273</v>
      </c>
      <c r="J86" s="56">
        <v>0</v>
      </c>
      <c r="K86" s="56">
        <v>6.3273</v>
      </c>
      <c r="L86" s="60">
        <f>+K86-((K86*0.0094*0.125)+(K86*(1-0.0094)*0.26))</f>
        <v>4.6902313437</v>
      </c>
      <c r="M86" s="101">
        <f t="shared" si="2"/>
        <v>4.6902313437</v>
      </c>
      <c r="N86" s="56" t="s">
        <v>248</v>
      </c>
    </row>
    <row r="87" spans="1:14" s="13" customFormat="1" ht="24.75" customHeight="1">
      <c r="A87" s="1" t="s">
        <v>244</v>
      </c>
      <c r="B87" s="56" t="s">
        <v>213</v>
      </c>
      <c r="C87" s="216" t="s">
        <v>452</v>
      </c>
      <c r="D87" s="56" t="s">
        <v>410</v>
      </c>
      <c r="E87" s="57">
        <v>44104</v>
      </c>
      <c r="F87" s="57">
        <v>44105</v>
      </c>
      <c r="G87" s="57">
        <v>44110</v>
      </c>
      <c r="H87" s="58"/>
      <c r="I87" s="56">
        <v>5.7821</v>
      </c>
      <c r="J87" s="56">
        <v>0</v>
      </c>
      <c r="K87" s="56">
        <v>5.7821</v>
      </c>
      <c r="L87" s="60">
        <f>+K87-((K87*0.0509*0.125)+(K87*(1-0.0509)*0.26))</f>
        <v>4.31848570015</v>
      </c>
      <c r="M87" s="101">
        <f t="shared" si="2"/>
        <v>4.31848570015</v>
      </c>
      <c r="N87" s="56" t="s">
        <v>248</v>
      </c>
    </row>
    <row r="88" spans="1:255" s="62" customFormat="1" ht="24.75" customHeight="1">
      <c r="A88" s="1" t="s">
        <v>241</v>
      </c>
      <c r="B88" s="56" t="s">
        <v>210</v>
      </c>
      <c r="C88" s="216" t="s">
        <v>459</v>
      </c>
      <c r="D88" s="56" t="s">
        <v>410</v>
      </c>
      <c r="E88" s="57">
        <v>44104</v>
      </c>
      <c r="F88" s="57">
        <v>44105</v>
      </c>
      <c r="G88" s="57">
        <v>44110</v>
      </c>
      <c r="H88" s="58"/>
      <c r="I88" s="56">
        <v>12.3733</v>
      </c>
      <c r="J88" s="56">
        <v>0.880787427309406</v>
      </c>
      <c r="K88" s="56">
        <v>11.492512572690595</v>
      </c>
      <c r="L88" s="60">
        <f>+K88-((K88*0.0921*0.125)+(K88*(1-0.0921)*0.26))</f>
        <v>8.64735145886359</v>
      </c>
      <c r="M88" s="101">
        <f t="shared" si="2"/>
        <v>9.528138886172995</v>
      </c>
      <c r="N88" s="56" t="s">
        <v>248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</row>
    <row r="89" spans="1:14" s="62" customFormat="1" ht="24.75" customHeight="1">
      <c r="A89" s="12" t="s">
        <v>245</v>
      </c>
      <c r="B89" s="56" t="s">
        <v>214</v>
      </c>
      <c r="C89" s="216" t="s">
        <v>453</v>
      </c>
      <c r="D89" s="56" t="s">
        <v>410</v>
      </c>
      <c r="E89" s="57">
        <v>44104</v>
      </c>
      <c r="F89" s="57">
        <v>44105</v>
      </c>
      <c r="G89" s="57">
        <v>44110</v>
      </c>
      <c r="H89" s="58"/>
      <c r="I89" s="56">
        <v>10.5476</v>
      </c>
      <c r="J89" s="56">
        <v>0</v>
      </c>
      <c r="K89" s="56">
        <v>10.5476</v>
      </c>
      <c r="L89" s="60">
        <f>+K89-((K89*0.078*0.125)+(K89*(1-0.078)*0.26))</f>
        <v>7.916290227999999</v>
      </c>
      <c r="M89" s="101">
        <f t="shared" si="2"/>
        <v>7.916290227999999</v>
      </c>
      <c r="N89" s="56" t="s">
        <v>248</v>
      </c>
    </row>
    <row r="90" spans="1:14" s="62" customFormat="1" ht="24.75" customHeight="1">
      <c r="A90" s="12" t="s">
        <v>242</v>
      </c>
      <c r="B90" s="56" t="s">
        <v>211</v>
      </c>
      <c r="C90" s="216" t="s">
        <v>460</v>
      </c>
      <c r="D90" s="56" t="s">
        <v>410</v>
      </c>
      <c r="E90" s="57">
        <v>44104</v>
      </c>
      <c r="F90" s="57">
        <v>44105</v>
      </c>
      <c r="G90" s="57">
        <v>44110</v>
      </c>
      <c r="H90" s="58"/>
      <c r="I90" s="104">
        <v>0</v>
      </c>
      <c r="J90" s="104">
        <v>0</v>
      </c>
      <c r="K90" s="104">
        <v>0</v>
      </c>
      <c r="L90" s="60">
        <f>+K90-((K90*0.1243*0.125)+(K90*(1-0.1243)*0.26))</f>
        <v>0</v>
      </c>
      <c r="M90" s="101">
        <f t="shared" si="2"/>
        <v>0</v>
      </c>
      <c r="N90" s="56" t="s">
        <v>248</v>
      </c>
    </row>
    <row r="91" spans="1:14" s="62" customFormat="1" ht="24.75" customHeight="1">
      <c r="A91" s="12" t="s">
        <v>226</v>
      </c>
      <c r="B91" s="56" t="s">
        <v>225</v>
      </c>
      <c r="C91" s="216" t="s">
        <v>454</v>
      </c>
      <c r="D91" s="56" t="s">
        <v>410</v>
      </c>
      <c r="E91" s="78">
        <v>44130</v>
      </c>
      <c r="F91" s="78">
        <v>44131</v>
      </c>
      <c r="G91" s="78">
        <v>44134</v>
      </c>
      <c r="H91" s="58"/>
      <c r="I91" s="56">
        <v>7.1941</v>
      </c>
      <c r="J91" s="104">
        <v>0</v>
      </c>
      <c r="K91" s="56">
        <v>7.1941</v>
      </c>
      <c r="L91" s="60">
        <f>+K91-((K91*0.2612*0.125)+(K91*(1-0.2612)*0.26))</f>
        <v>5.5773123542</v>
      </c>
      <c r="M91" s="101">
        <f t="shared" si="2"/>
        <v>5.5773123542</v>
      </c>
      <c r="N91" s="104" t="s">
        <v>249</v>
      </c>
    </row>
    <row r="92" spans="1:14" s="62" customFormat="1" ht="24.75" customHeight="1">
      <c r="A92" s="12" t="s">
        <v>220</v>
      </c>
      <c r="B92" s="56" t="s">
        <v>219</v>
      </c>
      <c r="C92" s="216" t="s">
        <v>487</v>
      </c>
      <c r="D92" s="56" t="s">
        <v>410</v>
      </c>
      <c r="E92" s="78">
        <v>44130</v>
      </c>
      <c r="F92" s="78">
        <v>44131</v>
      </c>
      <c r="G92" s="78">
        <v>44134</v>
      </c>
      <c r="H92" s="58"/>
      <c r="I92" s="56">
        <v>8.3063</v>
      </c>
      <c r="J92" s="104">
        <v>0</v>
      </c>
      <c r="K92" s="56">
        <v>8.3063</v>
      </c>
      <c r="L92" s="60">
        <f>+K92-((K92*0.000000000001*0.125)+(K92*(1-0.000000000001)*0.26))</f>
        <v>6.146662000001122</v>
      </c>
      <c r="M92" s="101">
        <f t="shared" si="2"/>
        <v>6.146662000001122</v>
      </c>
      <c r="N92" s="104" t="s">
        <v>249</v>
      </c>
    </row>
    <row r="93" spans="1:14" s="62" customFormat="1" ht="24.75" customHeight="1">
      <c r="A93" s="12" t="s">
        <v>222</v>
      </c>
      <c r="B93" s="56" t="s">
        <v>221</v>
      </c>
      <c r="C93" s="216" t="s">
        <v>486</v>
      </c>
      <c r="D93" s="56" t="s">
        <v>410</v>
      </c>
      <c r="E93" s="78">
        <v>44130</v>
      </c>
      <c r="F93" s="78">
        <v>44131</v>
      </c>
      <c r="G93" s="78">
        <v>44134</v>
      </c>
      <c r="H93" s="58"/>
      <c r="I93" s="56">
        <v>11.4251</v>
      </c>
      <c r="J93" s="104">
        <v>0</v>
      </c>
      <c r="K93" s="56">
        <v>11.4251</v>
      </c>
      <c r="L93" s="60">
        <f>+K93-((K93*0.000000000001*0.125)+(K93*(1-0.000000000001)*0.26))</f>
        <v>8.454574000001543</v>
      </c>
      <c r="M93" s="101">
        <f t="shared" si="2"/>
        <v>8.454574000001543</v>
      </c>
      <c r="N93" s="104" t="s">
        <v>249</v>
      </c>
    </row>
    <row r="94" spans="1:14" s="62" customFormat="1" ht="24.75" customHeight="1">
      <c r="A94" s="12"/>
      <c r="B94" s="56" t="s">
        <v>556</v>
      </c>
      <c r="C94" s="216" t="s">
        <v>557</v>
      </c>
      <c r="D94" s="56" t="s">
        <v>412</v>
      </c>
      <c r="E94" s="78">
        <v>44137</v>
      </c>
      <c r="F94" s="78">
        <v>44138</v>
      </c>
      <c r="G94" s="78">
        <v>44141</v>
      </c>
      <c r="H94" s="58"/>
      <c r="I94" s="56">
        <v>20</v>
      </c>
      <c r="J94" s="104">
        <v>0</v>
      </c>
      <c r="K94" s="56">
        <v>20</v>
      </c>
      <c r="L94" s="60">
        <f>+K94-((K94*0.0195*0.125)+(K94*(1-0.0195)*0.26))</f>
        <v>14.85265</v>
      </c>
      <c r="M94" s="101">
        <f t="shared" si="2"/>
        <v>14.85265</v>
      </c>
      <c r="N94" s="104" t="s">
        <v>288</v>
      </c>
    </row>
    <row r="95" spans="1:14" s="62" customFormat="1" ht="24.75" customHeight="1">
      <c r="A95" s="56" t="s">
        <v>246</v>
      </c>
      <c r="B95" s="56" t="s">
        <v>216</v>
      </c>
      <c r="C95" s="216" t="s">
        <v>456</v>
      </c>
      <c r="D95" s="56" t="s">
        <v>410</v>
      </c>
      <c r="E95" s="78">
        <v>44195</v>
      </c>
      <c r="F95" s="78">
        <v>44196</v>
      </c>
      <c r="G95" s="78">
        <v>44202</v>
      </c>
      <c r="H95" s="58"/>
      <c r="I95" s="61">
        <v>0</v>
      </c>
      <c r="J95" s="61">
        <v>0</v>
      </c>
      <c r="K95" s="61">
        <v>0</v>
      </c>
      <c r="L95" s="60">
        <f>+K95-((K95*0.082*0.125)+(K95*(1-0.082)*0.26))</f>
        <v>0</v>
      </c>
      <c r="M95" s="101">
        <f t="shared" si="2"/>
        <v>0</v>
      </c>
      <c r="N95" s="56" t="s">
        <v>247</v>
      </c>
    </row>
    <row r="96" spans="1:14" s="62" customFormat="1" ht="24.75" customHeight="1">
      <c r="A96" s="56" t="s">
        <v>233</v>
      </c>
      <c r="B96" s="56" t="s">
        <v>215</v>
      </c>
      <c r="C96" s="216" t="s">
        <v>457</v>
      </c>
      <c r="D96" s="56" t="s">
        <v>410</v>
      </c>
      <c r="E96" s="57">
        <v>44196</v>
      </c>
      <c r="F96" s="57">
        <v>44200</v>
      </c>
      <c r="G96" s="57">
        <v>44203</v>
      </c>
      <c r="H96" s="58"/>
      <c r="I96" s="61">
        <v>0</v>
      </c>
      <c r="J96" s="61">
        <v>0</v>
      </c>
      <c r="K96" s="61">
        <v>0</v>
      </c>
      <c r="L96" s="60">
        <f>+K96-((K96*0.3017*0.125)+(K96*(1-0.3017)*0.26))</f>
        <v>0</v>
      </c>
      <c r="M96" s="101">
        <f t="shared" si="2"/>
        <v>0</v>
      </c>
      <c r="N96" s="56" t="s">
        <v>248</v>
      </c>
    </row>
    <row r="97" spans="1:14" s="62" customFormat="1" ht="24.75" customHeight="1">
      <c r="A97" s="56" t="s">
        <v>234</v>
      </c>
      <c r="B97" s="56" t="s">
        <v>203</v>
      </c>
      <c r="C97" s="216" t="s">
        <v>445</v>
      </c>
      <c r="D97" s="56" t="s">
        <v>410</v>
      </c>
      <c r="E97" s="57">
        <v>44196</v>
      </c>
      <c r="F97" s="57">
        <v>44200</v>
      </c>
      <c r="G97" s="57">
        <v>44203</v>
      </c>
      <c r="H97" s="169"/>
      <c r="I97" s="61">
        <v>1.0163</v>
      </c>
      <c r="J97" s="61">
        <v>0</v>
      </c>
      <c r="K97" s="61">
        <v>1.0163</v>
      </c>
      <c r="L97" s="60">
        <f>+K97-((K97*0.5914*0.125)+(K97*(1-0.5914)*0.26))</f>
        <v>0.8332023757</v>
      </c>
      <c r="M97" s="101">
        <f t="shared" si="2"/>
        <v>0.8332023757</v>
      </c>
      <c r="N97" s="56" t="s">
        <v>248</v>
      </c>
    </row>
    <row r="98" spans="1:14" s="62" customFormat="1" ht="24.75" customHeight="1">
      <c r="A98" s="56" t="s">
        <v>235</v>
      </c>
      <c r="B98" s="56" t="s">
        <v>204</v>
      </c>
      <c r="C98" s="216" t="s">
        <v>446</v>
      </c>
      <c r="D98" s="56" t="s">
        <v>410</v>
      </c>
      <c r="E98" s="57">
        <v>44196</v>
      </c>
      <c r="F98" s="57">
        <v>44200</v>
      </c>
      <c r="G98" s="57">
        <v>44203</v>
      </c>
      <c r="H98" s="58"/>
      <c r="I98" s="61">
        <v>1.154</v>
      </c>
      <c r="J98" s="61">
        <v>0</v>
      </c>
      <c r="K98" s="61">
        <v>1.154</v>
      </c>
      <c r="L98" s="60">
        <f>+K98-((K98*0.0006*0.125)+(K98*(1-0.0006)*0.26))</f>
        <v>0.8540534739999999</v>
      </c>
      <c r="M98" s="101">
        <f t="shared" si="2"/>
        <v>0.8540534739999999</v>
      </c>
      <c r="N98" s="56" t="s">
        <v>248</v>
      </c>
    </row>
    <row r="99" spans="1:14" s="62" customFormat="1" ht="24.75" customHeight="1">
      <c r="A99" s="56" t="s">
        <v>238</v>
      </c>
      <c r="B99" s="56" t="s">
        <v>207</v>
      </c>
      <c r="C99" s="216" t="s">
        <v>447</v>
      </c>
      <c r="D99" s="56" t="s">
        <v>410</v>
      </c>
      <c r="E99" s="57">
        <v>44196</v>
      </c>
      <c r="F99" s="57">
        <v>44200</v>
      </c>
      <c r="G99" s="57">
        <v>44203</v>
      </c>
      <c r="H99" s="58"/>
      <c r="I99" s="61">
        <v>0.5072</v>
      </c>
      <c r="J99" s="61">
        <v>0</v>
      </c>
      <c r="K99" s="61">
        <v>0.5072</v>
      </c>
      <c r="L99" s="60">
        <f>+K99-((K99*0.9352*0.125)+(K99*(1-0.9352)*0.26))</f>
        <v>0.4393630144</v>
      </c>
      <c r="M99" s="101">
        <f t="shared" si="2"/>
        <v>0.4393630144</v>
      </c>
      <c r="N99" s="56" t="s">
        <v>248</v>
      </c>
    </row>
    <row r="100" spans="1:14" s="62" customFormat="1" ht="24.75" customHeight="1">
      <c r="A100" s="56" t="s">
        <v>240</v>
      </c>
      <c r="B100" s="56" t="s">
        <v>209</v>
      </c>
      <c r="C100" s="216" t="s">
        <v>458</v>
      </c>
      <c r="D100" s="56" t="s">
        <v>410</v>
      </c>
      <c r="E100" s="57">
        <v>44196</v>
      </c>
      <c r="F100" s="57">
        <v>44200</v>
      </c>
      <c r="G100" s="57">
        <v>44203</v>
      </c>
      <c r="H100" s="58"/>
      <c r="I100" s="61">
        <v>5.5808</v>
      </c>
      <c r="J100" s="61">
        <v>0.9945509109955125</v>
      </c>
      <c r="K100" s="61">
        <v>4.586249089004488</v>
      </c>
      <c r="L100" s="60">
        <f>+K100-((K100*0.127*0.125)+(K100*(1-0.127)*0.26))</f>
        <v>3.4724555664943026</v>
      </c>
      <c r="M100" s="101">
        <f t="shared" si="2"/>
        <v>4.467006477489815</v>
      </c>
      <c r="N100" s="56" t="s">
        <v>248</v>
      </c>
    </row>
    <row r="101" spans="1:14" s="62" customFormat="1" ht="24.75" customHeight="1">
      <c r="A101" s="56" t="s">
        <v>236</v>
      </c>
      <c r="B101" s="56" t="s">
        <v>205</v>
      </c>
      <c r="C101" s="216" t="s">
        <v>448</v>
      </c>
      <c r="D101" s="56" t="s">
        <v>410</v>
      </c>
      <c r="E101" s="57">
        <v>44196</v>
      </c>
      <c r="F101" s="57">
        <v>44200</v>
      </c>
      <c r="G101" s="57">
        <v>44203</v>
      </c>
      <c r="H101" s="58"/>
      <c r="I101" s="61">
        <v>3.8864</v>
      </c>
      <c r="J101" s="61">
        <v>0</v>
      </c>
      <c r="K101" s="61">
        <v>3.8864</v>
      </c>
      <c r="L101" s="60">
        <f>+K101-((K101*0.49965*0.125)+(K101*(1-0.49965)*0.26))</f>
        <v>3.1380843676</v>
      </c>
      <c r="M101" s="101">
        <f t="shared" si="2"/>
        <v>3.1380843676</v>
      </c>
      <c r="N101" s="56" t="s">
        <v>248</v>
      </c>
    </row>
    <row r="102" spans="1:14" s="62" customFormat="1" ht="24.75" customHeight="1">
      <c r="A102" s="56" t="s">
        <v>237</v>
      </c>
      <c r="B102" s="56" t="s">
        <v>206</v>
      </c>
      <c r="C102" s="216" t="s">
        <v>449</v>
      </c>
      <c r="D102" s="56" t="s">
        <v>410</v>
      </c>
      <c r="E102" s="57">
        <v>44196</v>
      </c>
      <c r="F102" s="57">
        <v>44200</v>
      </c>
      <c r="G102" s="57">
        <v>44203</v>
      </c>
      <c r="H102" s="58"/>
      <c r="I102" s="61">
        <v>3.9935</v>
      </c>
      <c r="J102" s="61">
        <v>0</v>
      </c>
      <c r="K102" s="61">
        <v>3.9935</v>
      </c>
      <c r="L102" s="60">
        <f>+K102-((K102*0.49965*0.125)+(K102*(1-0.49965)*0.26))</f>
        <v>3.224562557125</v>
      </c>
      <c r="M102" s="101">
        <f aca="true" t="shared" si="3" ref="M102:M133">L102+J102</f>
        <v>3.224562557125</v>
      </c>
      <c r="N102" s="56" t="s">
        <v>248</v>
      </c>
    </row>
    <row r="103" spans="1:14" s="62" customFormat="1" ht="24.75" customHeight="1">
      <c r="A103" s="12"/>
      <c r="B103" s="56" t="s">
        <v>508</v>
      </c>
      <c r="C103" s="216" t="s">
        <v>509</v>
      </c>
      <c r="D103" s="56" t="s">
        <v>410</v>
      </c>
      <c r="E103" s="57">
        <v>44196</v>
      </c>
      <c r="F103" s="57">
        <v>44200</v>
      </c>
      <c r="G103" s="57">
        <v>44203</v>
      </c>
      <c r="H103" s="58"/>
      <c r="I103" s="61">
        <v>8.75</v>
      </c>
      <c r="J103" s="61">
        <v>2.6786936602507656</v>
      </c>
      <c r="K103" s="61">
        <v>6.071306339749234</v>
      </c>
      <c r="L103" s="60">
        <f>+K103-((K103*0.000000000001*0.125)+(K103*(1-0.000000000001)*0.26))</f>
        <v>4.492766691415253</v>
      </c>
      <c r="M103" s="101">
        <f t="shared" si="3"/>
        <v>7.171460351666019</v>
      </c>
      <c r="N103" s="56" t="s">
        <v>248</v>
      </c>
    </row>
    <row r="104" spans="1:14" s="62" customFormat="1" ht="24.75" customHeight="1">
      <c r="A104" s="56" t="s">
        <v>243</v>
      </c>
      <c r="B104" s="56" t="s">
        <v>212</v>
      </c>
      <c r="C104" s="216" t="s">
        <v>450</v>
      </c>
      <c r="D104" s="56" t="s">
        <v>410</v>
      </c>
      <c r="E104" s="57">
        <v>44196</v>
      </c>
      <c r="F104" s="57">
        <v>44200</v>
      </c>
      <c r="G104" s="57">
        <v>44203</v>
      </c>
      <c r="H104" s="58"/>
      <c r="I104" s="61">
        <v>6.3556</v>
      </c>
      <c r="J104" s="61">
        <v>0</v>
      </c>
      <c r="K104" s="61">
        <v>6.3556</v>
      </c>
      <c r="L104" s="60">
        <f>+K104-((K104*0.000000000001*0.125)+(K104*(1-0.000000000001)*0.26))</f>
        <v>4.703144000000858</v>
      </c>
      <c r="M104" s="101">
        <f t="shared" si="3"/>
        <v>4.703144000000858</v>
      </c>
      <c r="N104" s="56" t="s">
        <v>248</v>
      </c>
    </row>
    <row r="105" spans="1:14" s="62" customFormat="1" ht="24.75" customHeight="1">
      <c r="A105" s="56" t="s">
        <v>239</v>
      </c>
      <c r="B105" s="56" t="s">
        <v>208</v>
      </c>
      <c r="C105" s="216" t="s">
        <v>451</v>
      </c>
      <c r="D105" s="56" t="s">
        <v>410</v>
      </c>
      <c r="E105" s="57">
        <v>44196</v>
      </c>
      <c r="F105" s="57">
        <v>44200</v>
      </c>
      <c r="G105" s="57">
        <v>44203</v>
      </c>
      <c r="H105" s="58"/>
      <c r="I105" s="61">
        <v>6.3273</v>
      </c>
      <c r="J105" s="61">
        <v>0</v>
      </c>
      <c r="K105" s="61">
        <v>6.3273</v>
      </c>
      <c r="L105" s="60">
        <f>+K105-((K105*0.0094*0.125)+(K105*(1-0.0094)*0.26))</f>
        <v>4.6902313437</v>
      </c>
      <c r="M105" s="101">
        <f t="shared" si="3"/>
        <v>4.6902313437</v>
      </c>
      <c r="N105" s="56" t="s">
        <v>248</v>
      </c>
    </row>
    <row r="106" spans="1:14" s="62" customFormat="1" ht="24.75" customHeight="1">
      <c r="A106" s="56" t="s">
        <v>244</v>
      </c>
      <c r="B106" s="56" t="s">
        <v>213</v>
      </c>
      <c r="C106" s="216" t="s">
        <v>452</v>
      </c>
      <c r="D106" s="56" t="s">
        <v>410</v>
      </c>
      <c r="E106" s="57">
        <v>44196</v>
      </c>
      <c r="F106" s="57">
        <v>44200</v>
      </c>
      <c r="G106" s="57">
        <v>44203</v>
      </c>
      <c r="H106" s="58"/>
      <c r="I106" s="61">
        <v>5.7821</v>
      </c>
      <c r="J106" s="61">
        <v>0</v>
      </c>
      <c r="K106" s="61">
        <v>5.7821</v>
      </c>
      <c r="L106" s="60">
        <f>+K106-((K106*0.0509*0.125)+(K106*(1-0.0509)*0.26))</f>
        <v>4.31848570015</v>
      </c>
      <c r="M106" s="101">
        <f t="shared" si="3"/>
        <v>4.31848570015</v>
      </c>
      <c r="N106" s="56" t="s">
        <v>248</v>
      </c>
    </row>
    <row r="107" spans="1:14" s="62" customFormat="1" ht="24.75" customHeight="1">
      <c r="A107" s="56" t="s">
        <v>241</v>
      </c>
      <c r="B107" s="56" t="s">
        <v>210</v>
      </c>
      <c r="C107" s="216" t="s">
        <v>459</v>
      </c>
      <c r="D107" s="56" t="s">
        <v>410</v>
      </c>
      <c r="E107" s="57">
        <v>44196</v>
      </c>
      <c r="F107" s="57">
        <v>44200</v>
      </c>
      <c r="G107" s="57">
        <v>44203</v>
      </c>
      <c r="H107" s="58"/>
      <c r="I107" s="61">
        <v>12.3733</v>
      </c>
      <c r="J107" s="61">
        <v>0</v>
      </c>
      <c r="K107" s="61">
        <v>12.3733</v>
      </c>
      <c r="L107" s="60">
        <f>+K107-((K107*0.0921*0.125)+(K107*(1-0.0921)*0.26))</f>
        <v>9.31008542555</v>
      </c>
      <c r="M107" s="101">
        <f t="shared" si="3"/>
        <v>9.31008542555</v>
      </c>
      <c r="N107" s="56" t="s">
        <v>248</v>
      </c>
    </row>
    <row r="108" spans="1:14" s="62" customFormat="1" ht="24.75" customHeight="1">
      <c r="A108" s="56" t="s">
        <v>245</v>
      </c>
      <c r="B108" s="56" t="s">
        <v>214</v>
      </c>
      <c r="C108" s="216" t="s">
        <v>453</v>
      </c>
      <c r="D108" s="56" t="s">
        <v>410</v>
      </c>
      <c r="E108" s="57">
        <v>44196</v>
      </c>
      <c r="F108" s="57">
        <v>44200</v>
      </c>
      <c r="G108" s="57">
        <v>44203</v>
      </c>
      <c r="H108" s="58"/>
      <c r="I108" s="61">
        <v>10.5476</v>
      </c>
      <c r="J108" s="61">
        <v>0</v>
      </c>
      <c r="K108" s="61">
        <v>10.5476</v>
      </c>
      <c r="L108" s="60">
        <f>+K108-((K108*0.078*0.125)+(K108*(1-0.078)*0.26))</f>
        <v>7.916290227999999</v>
      </c>
      <c r="M108" s="101">
        <f t="shared" si="3"/>
        <v>7.916290227999999</v>
      </c>
      <c r="N108" s="56" t="s">
        <v>248</v>
      </c>
    </row>
    <row r="109" spans="1:14" s="62" customFormat="1" ht="24.75" customHeight="1">
      <c r="A109" s="56" t="s">
        <v>242</v>
      </c>
      <c r="B109" s="56" t="s">
        <v>211</v>
      </c>
      <c r="C109" s="216" t="s">
        <v>460</v>
      </c>
      <c r="D109" s="56" t="s">
        <v>410</v>
      </c>
      <c r="E109" s="57">
        <v>44196</v>
      </c>
      <c r="F109" s="57">
        <v>44200</v>
      </c>
      <c r="G109" s="57">
        <v>44203</v>
      </c>
      <c r="H109" s="58"/>
      <c r="I109" s="61">
        <v>0</v>
      </c>
      <c r="J109" s="61">
        <v>0</v>
      </c>
      <c r="K109" s="61">
        <v>0</v>
      </c>
      <c r="L109" s="60">
        <f>+K109-((K109*0.1243*0.125)+(K109*(1-0.1243)*0.26))</f>
        <v>0</v>
      </c>
      <c r="M109" s="101">
        <f t="shared" si="3"/>
        <v>0</v>
      </c>
      <c r="N109" s="56" t="s">
        <v>248</v>
      </c>
    </row>
    <row r="110" spans="1:14" s="13" customFormat="1" ht="24.75" customHeight="1">
      <c r="A110" s="56" t="s">
        <v>226</v>
      </c>
      <c r="B110" s="56" t="s">
        <v>225</v>
      </c>
      <c r="C110" s="216" t="s">
        <v>454</v>
      </c>
      <c r="D110" s="56" t="s">
        <v>410</v>
      </c>
      <c r="E110" s="78">
        <v>44221</v>
      </c>
      <c r="F110" s="78">
        <v>44222</v>
      </c>
      <c r="G110" s="78">
        <v>44225</v>
      </c>
      <c r="H110" s="58"/>
      <c r="I110" s="104">
        <v>7.1941</v>
      </c>
      <c r="J110" s="104"/>
      <c r="K110" s="104"/>
      <c r="L110" s="60">
        <f>+K110-((K110*0.282*0.125)+(K110*(1-0.282)*0.26))</f>
        <v>0</v>
      </c>
      <c r="M110" s="101">
        <f t="shared" si="3"/>
        <v>0</v>
      </c>
      <c r="N110" s="56" t="s">
        <v>249</v>
      </c>
    </row>
    <row r="111" spans="1:14" s="13" customFormat="1" ht="24.75" customHeight="1">
      <c r="A111" s="56" t="s">
        <v>224</v>
      </c>
      <c r="B111" s="56" t="s">
        <v>223</v>
      </c>
      <c r="C111" s="216" t="s">
        <v>490</v>
      </c>
      <c r="D111" s="56" t="s">
        <v>413</v>
      </c>
      <c r="E111" s="78">
        <v>44221</v>
      </c>
      <c r="F111" s="78">
        <v>44222</v>
      </c>
      <c r="G111" s="78">
        <v>44225</v>
      </c>
      <c r="H111" s="58"/>
      <c r="I111" s="104">
        <v>18.9706</v>
      </c>
      <c r="J111" s="104">
        <v>0</v>
      </c>
      <c r="K111" s="104">
        <v>18.9706</v>
      </c>
      <c r="L111" s="60">
        <f>+K111-((K111*0.000000000001*0.125)+(K111*(1-0.000000000001)*0.26))</f>
        <v>14.038244000002562</v>
      </c>
      <c r="M111" s="101">
        <f t="shared" si="3"/>
        <v>14.038244000002562</v>
      </c>
      <c r="N111" s="56" t="s">
        <v>250</v>
      </c>
    </row>
    <row r="112" spans="1:14" s="13" customFormat="1" ht="24.75" customHeight="1">
      <c r="A112" s="56" t="s">
        <v>220</v>
      </c>
      <c r="B112" s="56" t="s">
        <v>219</v>
      </c>
      <c r="C112" s="216" t="s">
        <v>487</v>
      </c>
      <c r="D112" s="56" t="s">
        <v>410</v>
      </c>
      <c r="E112" s="78">
        <v>44221</v>
      </c>
      <c r="F112" s="78">
        <v>44222</v>
      </c>
      <c r="G112" s="78">
        <v>44225</v>
      </c>
      <c r="H112" s="58"/>
      <c r="I112" s="104">
        <v>8.3063</v>
      </c>
      <c r="J112" s="104">
        <v>0</v>
      </c>
      <c r="K112" s="104">
        <v>8.3063</v>
      </c>
      <c r="L112" s="60">
        <f>+K112-((K112*0.003*0.125)+(K112*(1-0.003)*0.26))</f>
        <v>6.150026051499999</v>
      </c>
      <c r="M112" s="101">
        <f t="shared" si="3"/>
        <v>6.150026051499999</v>
      </c>
      <c r="N112" s="56" t="s">
        <v>249</v>
      </c>
    </row>
    <row r="113" spans="1:14" s="13" customFormat="1" ht="24.75" customHeight="1">
      <c r="A113" s="56" t="s">
        <v>222</v>
      </c>
      <c r="B113" s="56" t="s">
        <v>221</v>
      </c>
      <c r="C113" s="216" t="s">
        <v>486</v>
      </c>
      <c r="D113" s="56" t="s">
        <v>410</v>
      </c>
      <c r="E113" s="78">
        <v>44221</v>
      </c>
      <c r="F113" s="78">
        <v>44222</v>
      </c>
      <c r="G113" s="78">
        <v>44225</v>
      </c>
      <c r="H113" s="58"/>
      <c r="I113" s="104">
        <v>11.4251</v>
      </c>
      <c r="J113" s="104">
        <v>4.422438</v>
      </c>
      <c r="K113" s="104">
        <v>7.002662000000001</v>
      </c>
      <c r="L113" s="60">
        <f>+K113-((K113*0.003*0.125)+(K113*(1-0.003)*0.26))</f>
        <v>5.18480595811</v>
      </c>
      <c r="M113" s="101">
        <f t="shared" si="3"/>
        <v>9.60724395811</v>
      </c>
      <c r="N113" s="56" t="s">
        <v>249</v>
      </c>
    </row>
    <row r="114" spans="1:255" s="13" customFormat="1" ht="24.75" customHeight="1">
      <c r="A114" s="56"/>
      <c r="B114" s="56" t="s">
        <v>488</v>
      </c>
      <c r="C114" s="216" t="s">
        <v>489</v>
      </c>
      <c r="D114" s="78" t="s">
        <v>413</v>
      </c>
      <c r="E114" s="78">
        <v>44221</v>
      </c>
      <c r="F114" s="78">
        <v>44222</v>
      </c>
      <c r="G114" s="78">
        <v>44225</v>
      </c>
      <c r="H114" s="104"/>
      <c r="I114" s="104">
        <v>22.2986</v>
      </c>
      <c r="J114" s="104">
        <v>14.24856463</v>
      </c>
      <c r="K114" s="104">
        <v>8.05003537</v>
      </c>
      <c r="L114" s="60">
        <f>+K114-((K114*0.003*0.125)+(K114*(1-0.003)*0.26))</f>
        <v>5.96028643812485</v>
      </c>
      <c r="M114" s="101">
        <f t="shared" si="3"/>
        <v>20.20885106812485</v>
      </c>
      <c r="N114" s="56" t="s">
        <v>250</v>
      </c>
      <c r="IT114" s="150"/>
      <c r="IU114"/>
    </row>
    <row r="115" spans="1:255" s="13" customFormat="1" ht="24.75" customHeight="1">
      <c r="A115" s="56"/>
      <c r="B115" s="56" t="s">
        <v>491</v>
      </c>
      <c r="C115" s="216" t="s">
        <v>525</v>
      </c>
      <c r="D115" s="78" t="s">
        <v>413</v>
      </c>
      <c r="E115" s="78">
        <v>44221</v>
      </c>
      <c r="F115" s="78">
        <v>44222</v>
      </c>
      <c r="G115" s="78">
        <v>44225</v>
      </c>
      <c r="H115" s="104"/>
      <c r="I115" s="104">
        <v>21.8705</v>
      </c>
      <c r="J115" s="104">
        <v>0.8565752000000012</v>
      </c>
      <c r="K115" s="104">
        <v>21.013924799999998</v>
      </c>
      <c r="L115" s="60">
        <f>+K115-((K115*0.248*0.125)+(K115*(1-0.248)*0.26))</f>
        <v>16.253850554303998</v>
      </c>
      <c r="M115" s="101">
        <f t="shared" si="3"/>
        <v>17.110425754304</v>
      </c>
      <c r="N115" s="56" t="s">
        <v>250</v>
      </c>
      <c r="IT115" s="150"/>
      <c r="IU115"/>
    </row>
    <row r="116" spans="1:255" s="13" customFormat="1" ht="24.75" customHeight="1">
      <c r="A116" s="56" t="s">
        <v>232</v>
      </c>
      <c r="B116" s="56" t="s">
        <v>218</v>
      </c>
      <c r="C116" s="216" t="s">
        <v>455</v>
      </c>
      <c r="D116" s="78" t="s">
        <v>413</v>
      </c>
      <c r="E116" s="78">
        <v>44221</v>
      </c>
      <c r="F116" s="78">
        <v>44222</v>
      </c>
      <c r="G116" s="78">
        <v>44225</v>
      </c>
      <c r="H116" s="104"/>
      <c r="I116" s="104">
        <v>23.13</v>
      </c>
      <c r="J116" s="104">
        <v>1.1607752899999964</v>
      </c>
      <c r="K116" s="104">
        <v>21.969224710000002</v>
      </c>
      <c r="L116" s="60">
        <f>+K116-((K116*0.248*0.125)+(K116*(1-0.248)*0.26))</f>
        <v>16.9927559286908</v>
      </c>
      <c r="M116" s="101">
        <f t="shared" si="3"/>
        <v>18.153531218690798</v>
      </c>
      <c r="N116" s="56" t="s">
        <v>250</v>
      </c>
      <c r="IT116" s="150"/>
      <c r="IU116"/>
    </row>
    <row r="117" spans="1:255" s="13" customFormat="1" ht="24.75" customHeight="1">
      <c r="A117" s="56"/>
      <c r="B117" s="56" t="s">
        <v>493</v>
      </c>
      <c r="C117" s="216" t="s">
        <v>686</v>
      </c>
      <c r="D117" s="78" t="s">
        <v>413</v>
      </c>
      <c r="E117" s="78">
        <v>44221</v>
      </c>
      <c r="F117" s="78">
        <v>44222</v>
      </c>
      <c r="G117" s="78">
        <v>44225</v>
      </c>
      <c r="H117" s="104"/>
      <c r="I117" s="104">
        <v>28.9501</v>
      </c>
      <c r="J117" s="104">
        <v>0</v>
      </c>
      <c r="K117" s="104">
        <v>28.9501</v>
      </c>
      <c r="L117" s="60">
        <f>+K117-((K117*0.167*0.125)+(K117*(1-0.167)*0.26))</f>
        <v>22.0757540045</v>
      </c>
      <c r="M117" s="101">
        <f t="shared" si="3"/>
        <v>22.0757540045</v>
      </c>
      <c r="N117" s="56" t="s">
        <v>250</v>
      </c>
      <c r="IT117" s="150"/>
      <c r="IU117"/>
    </row>
    <row r="118" spans="1:255" s="13" customFormat="1" ht="24.75" customHeight="1">
      <c r="A118" s="56"/>
      <c r="B118" s="56" t="s">
        <v>494</v>
      </c>
      <c r="C118" s="216" t="s">
        <v>496</v>
      </c>
      <c r="D118" s="78" t="s">
        <v>412</v>
      </c>
      <c r="E118" s="78">
        <v>44221</v>
      </c>
      <c r="F118" s="78">
        <v>44222</v>
      </c>
      <c r="G118" s="78">
        <v>44225</v>
      </c>
      <c r="H118" s="104"/>
      <c r="I118" s="104">
        <v>58.5497</v>
      </c>
      <c r="J118" s="104">
        <v>0</v>
      </c>
      <c r="K118" s="104">
        <v>58.5497</v>
      </c>
      <c r="L118" s="60">
        <f>+K118-((K118*0.167*0.125)+(K118*(1-0.167)*0.26))</f>
        <v>44.646780986500005</v>
      </c>
      <c r="M118" s="101">
        <f t="shared" si="3"/>
        <v>44.646780986500005</v>
      </c>
      <c r="N118" s="56" t="s">
        <v>497</v>
      </c>
      <c r="IT118" s="150"/>
      <c r="IU118"/>
    </row>
    <row r="119" spans="1:255" s="13" customFormat="1" ht="24.75" customHeight="1">
      <c r="A119" s="56"/>
      <c r="B119" s="56" t="s">
        <v>216</v>
      </c>
      <c r="C119" s="216" t="s">
        <v>456</v>
      </c>
      <c r="D119" s="78" t="s">
        <v>410</v>
      </c>
      <c r="E119" s="78">
        <v>44285</v>
      </c>
      <c r="F119" s="78">
        <v>44286</v>
      </c>
      <c r="G119" s="78">
        <v>44292</v>
      </c>
      <c r="H119" s="104"/>
      <c r="I119" s="104">
        <v>0</v>
      </c>
      <c r="J119" s="104">
        <v>0</v>
      </c>
      <c r="K119" s="104">
        <v>0</v>
      </c>
      <c r="L119" s="60">
        <f>+K119-((K119*0.058*0.125)+(K119*(1-0.058)*0.26))</f>
        <v>0</v>
      </c>
      <c r="M119" s="101">
        <f t="shared" si="3"/>
        <v>0</v>
      </c>
      <c r="N119" s="56" t="s">
        <v>247</v>
      </c>
      <c r="IT119" s="150"/>
      <c r="IU119"/>
    </row>
    <row r="120" spans="1:255" s="13" customFormat="1" ht="24.75" customHeight="1">
      <c r="A120" s="56"/>
      <c r="B120" s="56" t="s">
        <v>693</v>
      </c>
      <c r="C120" s="216" t="s">
        <v>716</v>
      </c>
      <c r="D120" s="78" t="s">
        <v>410</v>
      </c>
      <c r="E120" s="78">
        <v>44285</v>
      </c>
      <c r="F120" s="78">
        <v>44286</v>
      </c>
      <c r="G120" s="78">
        <v>44292</v>
      </c>
      <c r="H120" s="104"/>
      <c r="I120" s="104">
        <v>0.916234</v>
      </c>
      <c r="J120" s="104">
        <v>0</v>
      </c>
      <c r="K120" s="104">
        <v>0.91623415</v>
      </c>
      <c r="L120" s="60">
        <f>+K120-((K120*0.00000000001*0.125)+(K120*(1-0.0000000001)*0.26))</f>
        <v>0.6780132710226767</v>
      </c>
      <c r="M120" s="101">
        <f t="shared" si="3"/>
        <v>0.6780132710226767</v>
      </c>
      <c r="N120" s="56" t="s">
        <v>247</v>
      </c>
      <c r="IT120" s="150"/>
      <c r="IU120"/>
    </row>
    <row r="121" spans="1:255" s="13" customFormat="1" ht="24.75" customHeight="1">
      <c r="A121" s="56"/>
      <c r="B121" s="56" t="s">
        <v>692</v>
      </c>
      <c r="C121" s="216" t="s">
        <v>715</v>
      </c>
      <c r="D121" s="78" t="s">
        <v>410</v>
      </c>
      <c r="E121" s="78">
        <v>44285</v>
      </c>
      <c r="F121" s="78">
        <v>44286</v>
      </c>
      <c r="G121" s="78">
        <v>44292</v>
      </c>
      <c r="H121" s="104"/>
      <c r="I121" s="104">
        <v>1.313</v>
      </c>
      <c r="J121" s="104">
        <v>0</v>
      </c>
      <c r="K121" s="104">
        <v>1.313</v>
      </c>
      <c r="L121" s="60">
        <f>+K121-((K121*0.065*0.125)+(K121*(1-0.065)*0.26))</f>
        <v>0.983141575</v>
      </c>
      <c r="M121" s="101">
        <f t="shared" si="3"/>
        <v>0.983141575</v>
      </c>
      <c r="N121" s="56" t="s">
        <v>247</v>
      </c>
      <c r="IT121" s="150"/>
      <c r="IU121"/>
    </row>
    <row r="122" spans="1:255" s="13" customFormat="1" ht="24.75" customHeight="1">
      <c r="A122" s="56"/>
      <c r="B122" s="56" t="s">
        <v>215</v>
      </c>
      <c r="C122" s="216" t="s">
        <v>457</v>
      </c>
      <c r="D122" s="78" t="s">
        <v>410</v>
      </c>
      <c r="E122" s="78">
        <v>44286</v>
      </c>
      <c r="F122" s="78">
        <v>44287</v>
      </c>
      <c r="G122" s="78">
        <v>44291</v>
      </c>
      <c r="H122" s="104"/>
      <c r="I122" s="104">
        <v>0</v>
      </c>
      <c r="J122" s="104">
        <v>0</v>
      </c>
      <c r="K122" s="104">
        <v>0</v>
      </c>
      <c r="L122" s="60">
        <f>+K122-((K122*0.272*0.125)+(K122*(1-0.272)*0.26))</f>
        <v>0</v>
      </c>
      <c r="M122" s="101">
        <f t="shared" si="3"/>
        <v>0</v>
      </c>
      <c r="N122" s="56" t="s">
        <v>248</v>
      </c>
      <c r="IT122" s="150"/>
      <c r="IU122"/>
    </row>
    <row r="123" spans="1:255" s="13" customFormat="1" ht="24.75" customHeight="1">
      <c r="A123" s="56"/>
      <c r="B123" s="56" t="s">
        <v>203</v>
      </c>
      <c r="C123" s="216" t="s">
        <v>445</v>
      </c>
      <c r="D123" s="78" t="s">
        <v>410</v>
      </c>
      <c r="E123" s="78">
        <v>44286</v>
      </c>
      <c r="F123" s="78">
        <v>44287</v>
      </c>
      <c r="G123" s="78">
        <v>44291</v>
      </c>
      <c r="H123" s="104"/>
      <c r="I123" s="104">
        <v>1.054</v>
      </c>
      <c r="J123" s="104">
        <v>0</v>
      </c>
      <c r="K123" s="104">
        <v>1.054</v>
      </c>
      <c r="L123" s="60">
        <f>+K123-((K123*0.511*0.125)+(K123*(1-0.511)*0.26))</f>
        <v>0.85267019</v>
      </c>
      <c r="M123" s="101">
        <f t="shared" si="3"/>
        <v>0.85267019</v>
      </c>
      <c r="N123" s="56" t="s">
        <v>248</v>
      </c>
      <c r="IT123" s="150"/>
      <c r="IU123"/>
    </row>
    <row r="124" spans="1:255" s="13" customFormat="1" ht="24.75" customHeight="1">
      <c r="A124" s="56"/>
      <c r="B124" s="56" t="s">
        <v>204</v>
      </c>
      <c r="C124" s="216" t="s">
        <v>446</v>
      </c>
      <c r="D124" s="78" t="s">
        <v>410</v>
      </c>
      <c r="E124" s="78">
        <v>44286</v>
      </c>
      <c r="F124" s="78">
        <v>44287</v>
      </c>
      <c r="G124" s="78">
        <v>44291</v>
      </c>
      <c r="H124" s="104"/>
      <c r="I124" s="104">
        <v>1.1649</v>
      </c>
      <c r="J124" s="104">
        <v>0</v>
      </c>
      <c r="K124" s="104">
        <v>1.1649</v>
      </c>
      <c r="L124" s="60">
        <f>+K124-((K124*0.002*0.125)+(K124*(1-0.002)*0.26))</f>
        <v>0.8623405230000001</v>
      </c>
      <c r="M124" s="101">
        <f t="shared" si="3"/>
        <v>0.8623405230000001</v>
      </c>
      <c r="N124" s="56" t="s">
        <v>248</v>
      </c>
      <c r="IT124" s="150"/>
      <c r="IU124"/>
    </row>
    <row r="125" spans="1:255" s="13" customFormat="1" ht="24.75" customHeight="1">
      <c r="A125" s="56"/>
      <c r="B125" s="56" t="s">
        <v>207</v>
      </c>
      <c r="C125" s="216" t="s">
        <v>447</v>
      </c>
      <c r="D125" s="78" t="s">
        <v>410</v>
      </c>
      <c r="E125" s="78">
        <v>44286</v>
      </c>
      <c r="F125" s="78">
        <v>44287</v>
      </c>
      <c r="G125" s="78">
        <v>44291</v>
      </c>
      <c r="H125" s="104"/>
      <c r="I125" s="104">
        <v>0.5282</v>
      </c>
      <c r="J125" s="104">
        <v>0</v>
      </c>
      <c r="K125" s="104">
        <v>0.5282</v>
      </c>
      <c r="L125" s="60">
        <f>+K125-((K125*0.885*0.125)+(K125*(1-0.9352)*0.26))</f>
        <v>0.4608687614</v>
      </c>
      <c r="M125" s="101">
        <f t="shared" si="3"/>
        <v>0.4608687614</v>
      </c>
      <c r="N125" s="56" t="s">
        <v>248</v>
      </c>
      <c r="IT125" s="150"/>
      <c r="IU125"/>
    </row>
    <row r="126" spans="1:255" s="13" customFormat="1" ht="24.75" customHeight="1">
      <c r="A126" s="56"/>
      <c r="B126" s="56" t="s">
        <v>209</v>
      </c>
      <c r="C126" s="216" t="s">
        <v>458</v>
      </c>
      <c r="D126" s="78" t="s">
        <v>410</v>
      </c>
      <c r="E126" s="78">
        <v>44286</v>
      </c>
      <c r="F126" s="78">
        <v>44287</v>
      </c>
      <c r="G126" s="78">
        <v>44291</v>
      </c>
      <c r="H126" s="104"/>
      <c r="I126" s="104">
        <v>7.438</v>
      </c>
      <c r="J126" s="104">
        <v>0</v>
      </c>
      <c r="K126" s="104">
        <v>7.438</v>
      </c>
      <c r="L126" s="60">
        <f>+K126-((K126*0.1598*0.125)+(K126*(1-0.1598)*0.26))</f>
        <v>5.664579974</v>
      </c>
      <c r="M126" s="101">
        <f t="shared" si="3"/>
        <v>5.664579974</v>
      </c>
      <c r="N126" s="56" t="s">
        <v>248</v>
      </c>
      <c r="IT126" s="150"/>
      <c r="IU126"/>
    </row>
    <row r="127" spans="1:255" s="13" customFormat="1" ht="24.75" customHeight="1">
      <c r="A127" s="56"/>
      <c r="B127" s="56" t="s">
        <v>205</v>
      </c>
      <c r="C127" s="216" t="s">
        <v>448</v>
      </c>
      <c r="D127" s="78" t="s">
        <v>410</v>
      </c>
      <c r="E127" s="78">
        <v>44286</v>
      </c>
      <c r="F127" s="78">
        <v>44287</v>
      </c>
      <c r="G127" s="78">
        <v>44291</v>
      </c>
      <c r="H127" s="104"/>
      <c r="I127" s="104">
        <v>3.9231</v>
      </c>
      <c r="J127" s="104">
        <v>0</v>
      </c>
      <c r="K127" s="104">
        <v>3.9231</v>
      </c>
      <c r="L127" s="60">
        <f>+K127-((K127*0.458*0.125)+(K127*(1-0.458)*0.26))</f>
        <v>3.1456592729999997</v>
      </c>
      <c r="M127" s="101">
        <f t="shared" si="3"/>
        <v>3.1456592729999997</v>
      </c>
      <c r="N127" s="56" t="s">
        <v>248</v>
      </c>
      <c r="IT127" s="150"/>
      <c r="IU127"/>
    </row>
    <row r="128" spans="1:255" s="13" customFormat="1" ht="24.75" customHeight="1">
      <c r="A128" s="56"/>
      <c r="B128" s="56" t="s">
        <v>206</v>
      </c>
      <c r="C128" s="216" t="s">
        <v>449</v>
      </c>
      <c r="D128" s="78" t="s">
        <v>410</v>
      </c>
      <c r="E128" s="78">
        <v>44286</v>
      </c>
      <c r="F128" s="78">
        <v>44287</v>
      </c>
      <c r="G128" s="78">
        <v>44291</v>
      </c>
      <c r="H128" s="104"/>
      <c r="I128" s="104">
        <v>3.7574</v>
      </c>
      <c r="J128" s="104">
        <v>0</v>
      </c>
      <c r="K128" s="104">
        <v>3.7574</v>
      </c>
      <c r="L128" s="60">
        <f>+K128-((K128*0.458*0.125)+(K128*(1-0.458)*0.26))</f>
        <v>3.0127960419999997</v>
      </c>
      <c r="M128" s="101">
        <f t="shared" si="3"/>
        <v>3.0127960419999997</v>
      </c>
      <c r="N128" s="56" t="s">
        <v>248</v>
      </c>
      <c r="IT128" s="150"/>
      <c r="IU128"/>
    </row>
    <row r="129" spans="1:255" s="13" customFormat="1" ht="24.75" customHeight="1">
      <c r="A129" s="56"/>
      <c r="B129" s="56" t="s">
        <v>508</v>
      </c>
      <c r="C129" s="216" t="s">
        <v>509</v>
      </c>
      <c r="D129" s="78" t="s">
        <v>410</v>
      </c>
      <c r="E129" s="78">
        <v>44286</v>
      </c>
      <c r="F129" s="78">
        <v>44287</v>
      </c>
      <c r="G129" s="78">
        <v>44291</v>
      </c>
      <c r="H129" s="104"/>
      <c r="I129" s="104">
        <v>3.8198</v>
      </c>
      <c r="J129" s="104">
        <v>0</v>
      </c>
      <c r="K129" s="104">
        <v>3.8198</v>
      </c>
      <c r="L129" s="60">
        <f>+K129-((K129*0.001*0.125)+(K129*(1-0.001)*0.26))</f>
        <v>2.827167673</v>
      </c>
      <c r="M129" s="101">
        <f t="shared" si="3"/>
        <v>2.827167673</v>
      </c>
      <c r="N129" s="56" t="s">
        <v>248</v>
      </c>
      <c r="IT129" s="150"/>
      <c r="IU129"/>
    </row>
    <row r="130" spans="1:255" s="13" customFormat="1" ht="24.75" customHeight="1">
      <c r="A130" s="56"/>
      <c r="B130" s="56" t="s">
        <v>212</v>
      </c>
      <c r="C130" s="216" t="s">
        <v>450</v>
      </c>
      <c r="D130" s="78" t="s">
        <v>410</v>
      </c>
      <c r="E130" s="78">
        <v>44286</v>
      </c>
      <c r="F130" s="78">
        <v>44287</v>
      </c>
      <c r="G130" s="78">
        <v>44291</v>
      </c>
      <c r="H130" s="104"/>
      <c r="I130" s="104">
        <v>7.1507</v>
      </c>
      <c r="J130" s="104">
        <v>0</v>
      </c>
      <c r="K130" s="104">
        <v>7.1507</v>
      </c>
      <c r="L130" s="60">
        <f>+K130-((K130*0.002*0.125)+(K130*(1-0.002)*0.26))</f>
        <v>5.293448689</v>
      </c>
      <c r="M130" s="101">
        <f t="shared" si="3"/>
        <v>5.293448689</v>
      </c>
      <c r="N130" s="56" t="s">
        <v>248</v>
      </c>
      <c r="IT130" s="150"/>
      <c r="IU130"/>
    </row>
    <row r="131" spans="1:255" s="13" customFormat="1" ht="24.75" customHeight="1">
      <c r="A131" s="56"/>
      <c r="B131" s="56" t="s">
        <v>208</v>
      </c>
      <c r="C131" s="216" t="s">
        <v>451</v>
      </c>
      <c r="D131" s="78" t="s">
        <v>410</v>
      </c>
      <c r="E131" s="78">
        <v>44286</v>
      </c>
      <c r="F131" s="78">
        <v>44287</v>
      </c>
      <c r="G131" s="78">
        <v>44291</v>
      </c>
      <c r="H131" s="104"/>
      <c r="I131" s="104">
        <v>7.4634</v>
      </c>
      <c r="J131" s="104">
        <v>0</v>
      </c>
      <c r="K131" s="104">
        <v>7.4634</v>
      </c>
      <c r="L131" s="60">
        <f>+K131-((K131*0.009*0.125)+(K131*(1-0.009)*0.26))</f>
        <v>5.531984031</v>
      </c>
      <c r="M131" s="101">
        <f t="shared" si="3"/>
        <v>5.531984031</v>
      </c>
      <c r="N131" s="56" t="s">
        <v>248</v>
      </c>
      <c r="IT131" s="150"/>
      <c r="IU131"/>
    </row>
    <row r="132" spans="1:255" s="13" customFormat="1" ht="24.75" customHeight="1">
      <c r="A132" s="56"/>
      <c r="B132" s="56" t="s">
        <v>213</v>
      </c>
      <c r="C132" s="216" t="s">
        <v>452</v>
      </c>
      <c r="D132" s="78" t="s">
        <v>410</v>
      </c>
      <c r="E132" s="78">
        <v>44286</v>
      </c>
      <c r="F132" s="78">
        <v>44287</v>
      </c>
      <c r="G132" s="78">
        <v>44291</v>
      </c>
      <c r="H132" s="104"/>
      <c r="I132" s="104">
        <v>6.2241</v>
      </c>
      <c r="J132" s="104">
        <v>0</v>
      </c>
      <c r="K132" s="104">
        <v>6.2241</v>
      </c>
      <c r="L132" s="60">
        <f>+K132-((K132*0.052*0.125)+(K132*(1-0.052)*0.26))</f>
        <v>4.649527182</v>
      </c>
      <c r="M132" s="101">
        <f t="shared" si="3"/>
        <v>4.649527182</v>
      </c>
      <c r="N132" s="56" t="s">
        <v>248</v>
      </c>
      <c r="IT132" s="150"/>
      <c r="IU132"/>
    </row>
    <row r="133" spans="1:255" s="13" customFormat="1" ht="24.75" customHeight="1">
      <c r="A133" s="56"/>
      <c r="B133" s="56" t="s">
        <v>210</v>
      </c>
      <c r="C133" s="216" t="s">
        <v>459</v>
      </c>
      <c r="D133" s="78" t="s">
        <v>410</v>
      </c>
      <c r="E133" s="78">
        <v>44286</v>
      </c>
      <c r="F133" s="78">
        <v>44287</v>
      </c>
      <c r="G133" s="78">
        <v>44291</v>
      </c>
      <c r="H133" s="104"/>
      <c r="I133" s="104">
        <v>8.245</v>
      </c>
      <c r="J133" s="104">
        <v>0</v>
      </c>
      <c r="K133" s="104">
        <v>8.245</v>
      </c>
      <c r="L133" s="60">
        <f>+K133-((K133*0.081*0.125)+(K133*(1-0.081)*0.26))</f>
        <v>6.191459074999999</v>
      </c>
      <c r="M133" s="101">
        <f t="shared" si="3"/>
        <v>6.191459074999999</v>
      </c>
      <c r="N133" s="56" t="s">
        <v>248</v>
      </c>
      <c r="IT133" s="150"/>
      <c r="IU133"/>
    </row>
    <row r="134" spans="1:255" s="13" customFormat="1" ht="24.75" customHeight="1">
      <c r="A134" s="56"/>
      <c r="B134" s="56" t="s">
        <v>214</v>
      </c>
      <c r="C134" s="216" t="s">
        <v>453</v>
      </c>
      <c r="D134" s="78" t="s">
        <v>410</v>
      </c>
      <c r="E134" s="78">
        <v>44286</v>
      </c>
      <c r="F134" s="78">
        <v>44287</v>
      </c>
      <c r="G134" s="78">
        <v>44291</v>
      </c>
      <c r="H134" s="104"/>
      <c r="I134" s="104">
        <v>10.4453</v>
      </c>
      <c r="J134" s="104">
        <v>0</v>
      </c>
      <c r="K134" s="104">
        <v>10.4453</v>
      </c>
      <c r="L134" s="60">
        <f>+K134-((K134*0.078*0.125)+(K134*(1-0.078)*0.26))</f>
        <v>7.839511008999999</v>
      </c>
      <c r="M134" s="101">
        <f>L134+J134</f>
        <v>7.839511008999999</v>
      </c>
      <c r="N134" s="56" t="s">
        <v>248</v>
      </c>
      <c r="IT134" s="150"/>
      <c r="IU134"/>
    </row>
    <row r="135" spans="1:255" s="13" customFormat="1" ht="24.75" customHeight="1">
      <c r="A135" s="56"/>
      <c r="B135" s="56" t="s">
        <v>211</v>
      </c>
      <c r="C135" s="216" t="s">
        <v>460</v>
      </c>
      <c r="D135" s="78" t="s">
        <v>410</v>
      </c>
      <c r="E135" s="78">
        <v>44286</v>
      </c>
      <c r="F135" s="78">
        <v>44287</v>
      </c>
      <c r="G135" s="78">
        <v>44291</v>
      </c>
      <c r="H135" s="104"/>
      <c r="I135" s="104">
        <v>0</v>
      </c>
      <c r="J135" s="104">
        <v>0</v>
      </c>
      <c r="K135" s="104">
        <v>0</v>
      </c>
      <c r="L135" s="60">
        <f>+K135-((K135*0.118*0.125)+(K135*(1-0.118)*0.26))</f>
        <v>0</v>
      </c>
      <c r="M135" s="101">
        <f>L135+J135</f>
        <v>0</v>
      </c>
      <c r="N135" s="56" t="s">
        <v>248</v>
      </c>
      <c r="IT135" s="150"/>
      <c r="IU135"/>
    </row>
    <row r="136" spans="1:255" s="13" customFormat="1" ht="24.75" customHeight="1">
      <c r="A136" s="56"/>
      <c r="B136" s="56" t="s">
        <v>694</v>
      </c>
      <c r="C136" s="216" t="s">
        <v>717</v>
      </c>
      <c r="D136" s="78" t="s">
        <v>410</v>
      </c>
      <c r="E136" s="78">
        <v>44286</v>
      </c>
      <c r="F136" s="78">
        <v>44287</v>
      </c>
      <c r="G136" s="78">
        <v>44291</v>
      </c>
      <c r="H136" s="104"/>
      <c r="I136" s="104">
        <v>5</v>
      </c>
      <c r="J136" s="104">
        <v>0.8488959709314525</v>
      </c>
      <c r="K136" s="104">
        <v>4.151104029068548</v>
      </c>
      <c r="L136" s="60">
        <f>+K136-((K136*0.0003*0.125)+(K136*(1-0.0003)*0.26))</f>
        <v>3.071985101223903</v>
      </c>
      <c r="M136" s="101">
        <f>L136+J136</f>
        <v>3.920881072155355</v>
      </c>
      <c r="N136" s="56" t="s">
        <v>248</v>
      </c>
      <c r="IT136" s="150"/>
      <c r="IU136"/>
    </row>
    <row r="137" spans="1:255" s="13" customFormat="1" ht="24.75" customHeight="1">
      <c r="A137" s="56"/>
      <c r="B137" s="56" t="s">
        <v>225</v>
      </c>
      <c r="C137" s="216" t="s">
        <v>454</v>
      </c>
      <c r="D137" s="78" t="s">
        <v>410</v>
      </c>
      <c r="E137" s="78">
        <v>44312</v>
      </c>
      <c r="F137" s="78">
        <v>44313</v>
      </c>
      <c r="G137" s="78">
        <v>44316</v>
      </c>
      <c r="H137" s="104"/>
      <c r="I137" s="104">
        <v>7.489</v>
      </c>
      <c r="J137" s="104">
        <v>0</v>
      </c>
      <c r="K137" s="104">
        <v>7.489</v>
      </c>
      <c r="L137" s="60">
        <f>+K137-((K137*0.282*0.125)+(K137*(1-0.282)*0.26))</f>
        <v>5.82696623</v>
      </c>
      <c r="M137" s="101">
        <v>0</v>
      </c>
      <c r="N137" s="56" t="s">
        <v>249</v>
      </c>
      <c r="IT137" s="150"/>
      <c r="IU137"/>
    </row>
    <row r="138" spans="1:255" s="13" customFormat="1" ht="24.75" customHeight="1">
      <c r="A138" s="56"/>
      <c r="B138" s="56" t="s">
        <v>219</v>
      </c>
      <c r="C138" s="216" t="s">
        <v>487</v>
      </c>
      <c r="D138" s="78" t="s">
        <v>410</v>
      </c>
      <c r="E138" s="78">
        <v>44312</v>
      </c>
      <c r="F138" s="78">
        <v>44313</v>
      </c>
      <c r="G138" s="78">
        <v>44316</v>
      </c>
      <c r="H138" s="104"/>
      <c r="I138" s="104">
        <v>7.1856</v>
      </c>
      <c r="J138" s="104">
        <v>0</v>
      </c>
      <c r="K138" s="104">
        <v>7.1856</v>
      </c>
      <c r="L138" s="60">
        <f>+K138-((K138*0.003*0.125)+(K138*(1-0.003)*0.26))</f>
        <v>5.320254168</v>
      </c>
      <c r="M138" s="101">
        <v>0</v>
      </c>
      <c r="N138" s="56" t="s">
        <v>249</v>
      </c>
      <c r="IT138" s="150"/>
      <c r="IU138"/>
    </row>
    <row r="139" spans="1:255" s="13" customFormat="1" ht="24.75" customHeight="1">
      <c r="A139" s="56"/>
      <c r="B139" s="56" t="s">
        <v>221</v>
      </c>
      <c r="C139" s="216" t="s">
        <v>486</v>
      </c>
      <c r="D139" s="78" t="s">
        <v>410</v>
      </c>
      <c r="E139" s="78">
        <v>44312</v>
      </c>
      <c r="F139" s="78">
        <v>44313</v>
      </c>
      <c r="G139" s="78">
        <v>44316</v>
      </c>
      <c r="H139" s="104"/>
      <c r="I139" s="104">
        <v>0</v>
      </c>
      <c r="J139" s="104">
        <v>0</v>
      </c>
      <c r="K139" s="104">
        <v>0</v>
      </c>
      <c r="L139" s="60">
        <f>+K139-((K139*0.003*0.125)+(K139*(1-0.003)*0.26))</f>
        <v>0</v>
      </c>
      <c r="M139" s="101">
        <v>0</v>
      </c>
      <c r="N139" s="56" t="s">
        <v>249</v>
      </c>
      <c r="IT139" s="150"/>
      <c r="IU139"/>
    </row>
    <row r="140" spans="1:255" s="13" customFormat="1" ht="24.75" customHeight="1">
      <c r="A140" s="56"/>
      <c r="B140" s="56" t="s">
        <v>216</v>
      </c>
      <c r="C140" s="216" t="s">
        <v>456</v>
      </c>
      <c r="D140" s="78" t="s">
        <v>410</v>
      </c>
      <c r="E140" s="78">
        <v>44376</v>
      </c>
      <c r="F140" s="78">
        <v>44377</v>
      </c>
      <c r="G140" s="78">
        <v>44382</v>
      </c>
      <c r="H140" s="104"/>
      <c r="I140" s="104">
        <v>0</v>
      </c>
      <c r="J140" s="104">
        <v>0</v>
      </c>
      <c r="K140" s="104">
        <v>0</v>
      </c>
      <c r="L140" s="60">
        <f>+K140-((K140*0.058*0.125)+(K140*(1-0.058)*0.26))</f>
        <v>0</v>
      </c>
      <c r="M140" s="101">
        <f aca="true" t="shared" si="4" ref="M140:M157">L140+J140</f>
        <v>0</v>
      </c>
      <c r="N140" s="56" t="s">
        <v>247</v>
      </c>
      <c r="IT140" s="150"/>
      <c r="IU140"/>
    </row>
    <row r="141" spans="1:255" s="13" customFormat="1" ht="24.75" customHeight="1">
      <c r="A141" s="56"/>
      <c r="B141" s="56" t="s">
        <v>693</v>
      </c>
      <c r="C141" s="216" t="s">
        <v>716</v>
      </c>
      <c r="D141" s="78" t="s">
        <v>410</v>
      </c>
      <c r="E141" s="78">
        <v>44376</v>
      </c>
      <c r="F141" s="78">
        <v>44377</v>
      </c>
      <c r="G141" s="78">
        <v>44382</v>
      </c>
      <c r="H141" s="104"/>
      <c r="I141" s="104">
        <v>4.244375</v>
      </c>
      <c r="J141" s="104">
        <v>0</v>
      </c>
      <c r="K141" s="104">
        <v>4.24437525</v>
      </c>
      <c r="L141" s="60">
        <f>+K141-((K141*0.00000000001*0.125)+(K141*(1-0.0000000001)*0.26))</f>
        <v>3.140837685105048</v>
      </c>
      <c r="M141" s="101">
        <f t="shared" si="4"/>
        <v>3.140837685105048</v>
      </c>
      <c r="N141" s="56" t="s">
        <v>247</v>
      </c>
      <c r="IT141" s="150"/>
      <c r="IU141"/>
    </row>
    <row r="142" spans="1:255" s="13" customFormat="1" ht="24.75" customHeight="1">
      <c r="A142" s="56"/>
      <c r="B142" s="56" t="s">
        <v>692</v>
      </c>
      <c r="C142" s="216" t="s">
        <v>715</v>
      </c>
      <c r="D142" s="78" t="s">
        <v>410</v>
      </c>
      <c r="E142" s="78">
        <v>44376</v>
      </c>
      <c r="F142" s="78">
        <v>44377</v>
      </c>
      <c r="G142" s="78">
        <v>44382</v>
      </c>
      <c r="H142" s="104"/>
      <c r="I142" s="104">
        <v>6.681214</v>
      </c>
      <c r="J142" s="104">
        <v>0</v>
      </c>
      <c r="K142" s="104">
        <v>6.68121367</v>
      </c>
      <c r="L142" s="60">
        <f>+K142-((K142*0.065*0.125)+(K142*(1-0.065)*0.26))</f>
        <v>5.00272576575425</v>
      </c>
      <c r="M142" s="101">
        <f t="shared" si="4"/>
        <v>5.00272576575425</v>
      </c>
      <c r="N142" s="56" t="s">
        <v>247</v>
      </c>
      <c r="IT142" s="150"/>
      <c r="IU142"/>
    </row>
    <row r="143" spans="1:255" s="13" customFormat="1" ht="24.75" customHeight="1">
      <c r="A143" s="56"/>
      <c r="B143" s="56" t="s">
        <v>215</v>
      </c>
      <c r="C143" s="216" t="s">
        <v>457</v>
      </c>
      <c r="D143" s="78" t="s">
        <v>410</v>
      </c>
      <c r="E143" s="78">
        <v>44377</v>
      </c>
      <c r="F143" s="78">
        <v>44378</v>
      </c>
      <c r="G143" s="78">
        <v>44383</v>
      </c>
      <c r="H143" s="104"/>
      <c r="I143" s="104">
        <v>0</v>
      </c>
      <c r="J143" s="104">
        <v>0</v>
      </c>
      <c r="K143" s="104">
        <v>0</v>
      </c>
      <c r="L143" s="60">
        <f>+K143-((K143*0.272*0.125)+(K143*(1-0.272)*0.26))</f>
        <v>0</v>
      </c>
      <c r="M143" s="101">
        <f t="shared" si="4"/>
        <v>0</v>
      </c>
      <c r="N143" s="56" t="s">
        <v>248</v>
      </c>
      <c r="IT143" s="150"/>
      <c r="IU143"/>
    </row>
    <row r="144" spans="1:255" s="13" customFormat="1" ht="24.75" customHeight="1">
      <c r="A144" s="56"/>
      <c r="B144" s="56" t="s">
        <v>203</v>
      </c>
      <c r="C144" s="216" t="s">
        <v>445</v>
      </c>
      <c r="D144" s="78" t="s">
        <v>410</v>
      </c>
      <c r="E144" s="78">
        <v>44377</v>
      </c>
      <c r="F144" s="78">
        <v>44378</v>
      </c>
      <c r="G144" s="78">
        <v>44383</v>
      </c>
      <c r="H144" s="104"/>
      <c r="I144" s="104">
        <v>1.054</v>
      </c>
      <c r="J144" s="104">
        <v>0</v>
      </c>
      <c r="K144" s="104">
        <v>1.054</v>
      </c>
      <c r="L144" s="60">
        <f>+K144-((K144*0.511*0.125)+(K144*(1-0.511)*0.26))</f>
        <v>0.85267019</v>
      </c>
      <c r="M144" s="101">
        <f t="shared" si="4"/>
        <v>0.85267019</v>
      </c>
      <c r="N144" s="56" t="s">
        <v>248</v>
      </c>
      <c r="IT144" s="150"/>
      <c r="IU144"/>
    </row>
    <row r="145" spans="1:255" s="13" customFormat="1" ht="24.75" customHeight="1">
      <c r="A145" s="56"/>
      <c r="B145" s="56" t="s">
        <v>204</v>
      </c>
      <c r="C145" s="216" t="s">
        <v>446</v>
      </c>
      <c r="D145" s="78" t="s">
        <v>410</v>
      </c>
      <c r="E145" s="78">
        <v>44377</v>
      </c>
      <c r="F145" s="78">
        <v>44378</v>
      </c>
      <c r="G145" s="78">
        <v>44383</v>
      </c>
      <c r="H145" s="104"/>
      <c r="I145" s="104">
        <v>1.1649</v>
      </c>
      <c r="J145" s="104">
        <v>0</v>
      </c>
      <c r="K145" s="104">
        <v>1.1649</v>
      </c>
      <c r="L145" s="60">
        <f>+K145-((K145*0.002*0.125)+(K145*(1-0.002)*0.26))</f>
        <v>0.8623405230000001</v>
      </c>
      <c r="M145" s="101">
        <f t="shared" si="4"/>
        <v>0.8623405230000001</v>
      </c>
      <c r="N145" s="56" t="s">
        <v>248</v>
      </c>
      <c r="IT145" s="150"/>
      <c r="IU145"/>
    </row>
    <row r="146" spans="1:255" s="13" customFormat="1" ht="24.75" customHeight="1">
      <c r="A146" s="56"/>
      <c r="B146" s="56" t="s">
        <v>207</v>
      </c>
      <c r="C146" s="216" t="s">
        <v>447</v>
      </c>
      <c r="D146" s="78" t="s">
        <v>410</v>
      </c>
      <c r="E146" s="78">
        <v>44377</v>
      </c>
      <c r="F146" s="78">
        <v>44378</v>
      </c>
      <c r="G146" s="78">
        <v>44383</v>
      </c>
      <c r="H146" s="104"/>
      <c r="I146" s="104">
        <v>0.5282</v>
      </c>
      <c r="J146" s="104">
        <v>0</v>
      </c>
      <c r="K146" s="104">
        <v>0.5282</v>
      </c>
      <c r="L146" s="60">
        <f>+K146-((K146*0.885*0.125)+(K146*(1-0.9352)*0.26))</f>
        <v>0.4608687614</v>
      </c>
      <c r="M146" s="101">
        <f t="shared" si="4"/>
        <v>0.4608687614</v>
      </c>
      <c r="N146" s="56" t="s">
        <v>248</v>
      </c>
      <c r="IT146" s="150"/>
      <c r="IU146"/>
    </row>
    <row r="147" spans="1:255" s="13" customFormat="1" ht="24.75" customHeight="1">
      <c r="A147" s="56"/>
      <c r="B147" s="56" t="s">
        <v>209</v>
      </c>
      <c r="C147" s="216" t="s">
        <v>458</v>
      </c>
      <c r="D147" s="78" t="s">
        <v>410</v>
      </c>
      <c r="E147" s="78">
        <v>44377</v>
      </c>
      <c r="F147" s="78">
        <v>44378</v>
      </c>
      <c r="G147" s="78">
        <v>44383</v>
      </c>
      <c r="H147" s="104"/>
      <c r="I147" s="104">
        <v>0</v>
      </c>
      <c r="J147" s="104">
        <v>0</v>
      </c>
      <c r="K147" s="104">
        <v>0</v>
      </c>
      <c r="L147" s="60">
        <f>+K147-((K147*0.1598*0.125)+(K147*(1-0.1598)*0.26))</f>
        <v>0</v>
      </c>
      <c r="M147" s="101">
        <f t="shared" si="4"/>
        <v>0</v>
      </c>
      <c r="N147" s="56" t="s">
        <v>248</v>
      </c>
      <c r="IT147" s="150"/>
      <c r="IU147"/>
    </row>
    <row r="148" spans="1:255" s="13" customFormat="1" ht="24.75" customHeight="1">
      <c r="A148" s="56"/>
      <c r="B148" s="56" t="s">
        <v>205</v>
      </c>
      <c r="C148" s="216" t="s">
        <v>448</v>
      </c>
      <c r="D148" s="78" t="s">
        <v>410</v>
      </c>
      <c r="E148" s="78">
        <v>44377</v>
      </c>
      <c r="F148" s="78">
        <v>44378</v>
      </c>
      <c r="G148" s="78">
        <v>44383</v>
      </c>
      <c r="H148" s="104"/>
      <c r="I148" s="104">
        <v>3.9231</v>
      </c>
      <c r="J148" s="104">
        <v>0</v>
      </c>
      <c r="K148" s="104">
        <v>3.9231</v>
      </c>
      <c r="L148" s="60">
        <f>+K148-((K148*0.458*0.125)+(K148*(1-0.458)*0.26))</f>
        <v>3.1456592729999997</v>
      </c>
      <c r="M148" s="101">
        <f t="shared" si="4"/>
        <v>3.1456592729999997</v>
      </c>
      <c r="N148" s="56" t="s">
        <v>248</v>
      </c>
      <c r="IT148" s="150"/>
      <c r="IU148"/>
    </row>
    <row r="149" spans="1:255" s="13" customFormat="1" ht="24.75" customHeight="1">
      <c r="A149" s="56"/>
      <c r="B149" s="56" t="s">
        <v>206</v>
      </c>
      <c r="C149" s="216" t="s">
        <v>449</v>
      </c>
      <c r="D149" s="78" t="s">
        <v>410</v>
      </c>
      <c r="E149" s="78">
        <v>44377</v>
      </c>
      <c r="F149" s="78">
        <v>44378</v>
      </c>
      <c r="G149" s="78">
        <v>44383</v>
      </c>
      <c r="H149" s="104"/>
      <c r="I149" s="104">
        <v>3.7574</v>
      </c>
      <c r="J149" s="104">
        <v>0</v>
      </c>
      <c r="K149" s="104">
        <v>3.7574</v>
      </c>
      <c r="L149" s="60">
        <f>+K149-((K149*0.458*0.125)+(K149*(1-0.458)*0.26))</f>
        <v>3.0127960419999997</v>
      </c>
      <c r="M149" s="101">
        <f t="shared" si="4"/>
        <v>3.0127960419999997</v>
      </c>
      <c r="N149" s="56" t="s">
        <v>248</v>
      </c>
      <c r="IT149" s="150"/>
      <c r="IU149"/>
    </row>
    <row r="150" spans="1:255" s="13" customFormat="1" ht="24.75" customHeight="1">
      <c r="A150" s="56"/>
      <c r="B150" s="56" t="s">
        <v>508</v>
      </c>
      <c r="C150" s="216" t="s">
        <v>509</v>
      </c>
      <c r="D150" s="78" t="s">
        <v>410</v>
      </c>
      <c r="E150" s="78">
        <v>44377</v>
      </c>
      <c r="F150" s="78">
        <v>44378</v>
      </c>
      <c r="G150" s="78">
        <v>44383</v>
      </c>
      <c r="H150" s="104"/>
      <c r="I150" s="104">
        <v>3.8198</v>
      </c>
      <c r="J150" s="104">
        <v>0</v>
      </c>
      <c r="K150" s="104">
        <v>3.8198</v>
      </c>
      <c r="L150" s="60">
        <f>+K150-((K150*0.001*0.125)+(K150*(1-0.001)*0.26))</f>
        <v>2.827167673</v>
      </c>
      <c r="M150" s="101">
        <f t="shared" si="4"/>
        <v>2.827167673</v>
      </c>
      <c r="N150" s="56" t="s">
        <v>248</v>
      </c>
      <c r="IT150" s="150"/>
      <c r="IU150"/>
    </row>
    <row r="151" spans="1:255" s="13" customFormat="1" ht="24.75" customHeight="1">
      <c r="A151" s="56"/>
      <c r="B151" s="56" t="s">
        <v>212</v>
      </c>
      <c r="C151" s="216" t="s">
        <v>450</v>
      </c>
      <c r="D151" s="78" t="s">
        <v>410</v>
      </c>
      <c r="E151" s="78">
        <v>44377</v>
      </c>
      <c r="F151" s="78">
        <v>44378</v>
      </c>
      <c r="G151" s="78">
        <v>44383</v>
      </c>
      <c r="H151" s="104"/>
      <c r="I151" s="104">
        <v>7.1507</v>
      </c>
      <c r="J151" s="104">
        <v>0</v>
      </c>
      <c r="K151" s="104">
        <v>7.1507</v>
      </c>
      <c r="L151" s="60">
        <f>+K151-((K151*0.002*0.125)+(K151*(1-0.002)*0.26))</f>
        <v>5.293448689</v>
      </c>
      <c r="M151" s="101">
        <f t="shared" si="4"/>
        <v>5.293448689</v>
      </c>
      <c r="N151" s="56" t="s">
        <v>248</v>
      </c>
      <c r="IT151" s="150"/>
      <c r="IU151"/>
    </row>
    <row r="152" spans="1:255" s="13" customFormat="1" ht="24.75" customHeight="1">
      <c r="A152" s="56"/>
      <c r="B152" s="56" t="s">
        <v>208</v>
      </c>
      <c r="C152" s="216" t="s">
        <v>451</v>
      </c>
      <c r="D152" s="78" t="s">
        <v>410</v>
      </c>
      <c r="E152" s="78">
        <v>44377</v>
      </c>
      <c r="F152" s="78">
        <v>44378</v>
      </c>
      <c r="G152" s="78">
        <v>44383</v>
      </c>
      <c r="H152" s="104"/>
      <c r="I152" s="104">
        <v>7.4634</v>
      </c>
      <c r="J152" s="104">
        <v>0</v>
      </c>
      <c r="K152" s="104">
        <v>7.4634</v>
      </c>
      <c r="L152" s="60">
        <f>+K152-((K152*0.009*0.125)+(K152*(1-0.009)*0.26))</f>
        <v>5.531984031</v>
      </c>
      <c r="M152" s="101">
        <f t="shared" si="4"/>
        <v>5.531984031</v>
      </c>
      <c r="N152" s="56" t="s">
        <v>248</v>
      </c>
      <c r="IT152" s="150"/>
      <c r="IU152"/>
    </row>
    <row r="153" spans="1:255" s="13" customFormat="1" ht="24.75" customHeight="1">
      <c r="A153" s="56"/>
      <c r="B153" s="56" t="s">
        <v>213</v>
      </c>
      <c r="C153" s="216" t="s">
        <v>452</v>
      </c>
      <c r="D153" s="78" t="s">
        <v>410</v>
      </c>
      <c r="E153" s="78">
        <v>44377</v>
      </c>
      <c r="F153" s="78">
        <v>44378</v>
      </c>
      <c r="G153" s="78">
        <v>44383</v>
      </c>
      <c r="H153" s="104"/>
      <c r="I153" s="104">
        <v>6.2241</v>
      </c>
      <c r="J153" s="104">
        <v>0</v>
      </c>
      <c r="K153" s="104">
        <v>6.2241</v>
      </c>
      <c r="L153" s="60">
        <f>+K153-((K153*0.052*0.125)+(K153*(1-0.052)*0.26))</f>
        <v>4.649527182</v>
      </c>
      <c r="M153" s="101">
        <f t="shared" si="4"/>
        <v>4.649527182</v>
      </c>
      <c r="N153" s="56" t="s">
        <v>248</v>
      </c>
      <c r="IT153" s="150"/>
      <c r="IU153"/>
    </row>
    <row r="154" spans="1:255" s="13" customFormat="1" ht="24.75" customHeight="1">
      <c r="A154" s="56"/>
      <c r="B154" s="56" t="s">
        <v>210</v>
      </c>
      <c r="C154" s="216" t="s">
        <v>459</v>
      </c>
      <c r="D154" s="78" t="s">
        <v>410</v>
      </c>
      <c r="E154" s="78">
        <v>44377</v>
      </c>
      <c r="F154" s="78">
        <v>44378</v>
      </c>
      <c r="G154" s="78">
        <v>44383</v>
      </c>
      <c r="H154" s="104"/>
      <c r="I154" s="104">
        <v>8.245</v>
      </c>
      <c r="J154" s="104">
        <v>0</v>
      </c>
      <c r="K154" s="104">
        <v>8.245</v>
      </c>
      <c r="L154" s="60">
        <f>+K154-((K154*0.081*0.125)+(K154*(1-0.081)*0.26))</f>
        <v>6.191459074999999</v>
      </c>
      <c r="M154" s="101">
        <f t="shared" si="4"/>
        <v>6.191459074999999</v>
      </c>
      <c r="N154" s="56" t="s">
        <v>248</v>
      </c>
      <c r="IT154" s="150"/>
      <c r="IU154"/>
    </row>
    <row r="155" spans="1:255" s="13" customFormat="1" ht="24.75" customHeight="1">
      <c r="A155" s="56"/>
      <c r="B155" s="56" t="s">
        <v>214</v>
      </c>
      <c r="C155" s="216" t="s">
        <v>453</v>
      </c>
      <c r="D155" s="78" t="s">
        <v>410</v>
      </c>
      <c r="E155" s="78">
        <v>44377</v>
      </c>
      <c r="F155" s="78">
        <v>44378</v>
      </c>
      <c r="G155" s="78">
        <v>44383</v>
      </c>
      <c r="H155" s="104"/>
      <c r="I155" s="104">
        <v>10.4453</v>
      </c>
      <c r="J155" s="104">
        <v>0</v>
      </c>
      <c r="K155" s="104">
        <v>10.4453</v>
      </c>
      <c r="L155" s="60">
        <f>+K155-((K155*0.078*0.125)+(K155*(1-0.078)*0.26))</f>
        <v>7.839511008999999</v>
      </c>
      <c r="M155" s="101">
        <f t="shared" si="4"/>
        <v>7.839511008999999</v>
      </c>
      <c r="N155" s="56" t="s">
        <v>248</v>
      </c>
      <c r="IT155" s="150"/>
      <c r="IU155"/>
    </row>
    <row r="156" spans="1:255" s="13" customFormat="1" ht="24.75" customHeight="1">
      <c r="A156" s="56"/>
      <c r="B156" s="56" t="s">
        <v>211</v>
      </c>
      <c r="C156" s="216" t="s">
        <v>460</v>
      </c>
      <c r="D156" s="78" t="s">
        <v>410</v>
      </c>
      <c r="E156" s="78">
        <v>44377</v>
      </c>
      <c r="F156" s="78">
        <v>44378</v>
      </c>
      <c r="G156" s="78">
        <v>44383</v>
      </c>
      <c r="H156" s="104"/>
      <c r="I156" s="104">
        <v>0</v>
      </c>
      <c r="J156" s="104">
        <v>0</v>
      </c>
      <c r="K156" s="104">
        <v>0</v>
      </c>
      <c r="L156" s="60">
        <f>+K156-((K156*0.118*0.125)+(K156*(1-0.118)*0.26))</f>
        <v>0</v>
      </c>
      <c r="M156" s="101">
        <f t="shared" si="4"/>
        <v>0</v>
      </c>
      <c r="N156" s="56" t="s">
        <v>248</v>
      </c>
      <c r="IT156" s="150"/>
      <c r="IU156"/>
    </row>
    <row r="157" spans="1:255" s="13" customFormat="1" ht="24.75" customHeight="1">
      <c r="A157" s="56"/>
      <c r="B157" s="56" t="s">
        <v>694</v>
      </c>
      <c r="C157" s="216" t="s">
        <v>717</v>
      </c>
      <c r="D157" s="78" t="s">
        <v>410</v>
      </c>
      <c r="E157" s="78">
        <v>44377</v>
      </c>
      <c r="F157" s="78">
        <v>44378</v>
      </c>
      <c r="G157" s="78">
        <v>44383</v>
      </c>
      <c r="H157" s="104"/>
      <c r="I157" s="104">
        <v>5</v>
      </c>
      <c r="J157" s="104">
        <v>0</v>
      </c>
      <c r="K157" s="104">
        <v>5</v>
      </c>
      <c r="L157" s="60">
        <f>+K157-((K157*0.0003*0.125)+(K157*(1-0.0003)*0.26))</f>
        <v>3.7002025</v>
      </c>
      <c r="M157" s="101">
        <f t="shared" si="4"/>
        <v>3.7002025</v>
      </c>
      <c r="N157" s="56" t="s">
        <v>248</v>
      </c>
      <c r="IT157" s="150"/>
      <c r="IU157"/>
    </row>
    <row r="158" spans="1:255" s="13" customFormat="1" ht="24.75" customHeight="1">
      <c r="A158" s="56"/>
      <c r="B158" s="56" t="s">
        <v>225</v>
      </c>
      <c r="C158" s="216" t="s">
        <v>454</v>
      </c>
      <c r="D158" s="78" t="s">
        <v>410</v>
      </c>
      <c r="E158" s="78">
        <v>44403</v>
      </c>
      <c r="F158" s="78">
        <v>44404</v>
      </c>
      <c r="G158" s="78">
        <v>44407</v>
      </c>
      <c r="H158" s="104"/>
      <c r="I158" s="104">
        <v>7.489</v>
      </c>
      <c r="J158" s="104">
        <v>0</v>
      </c>
      <c r="K158" s="104">
        <v>7.489</v>
      </c>
      <c r="L158" s="60">
        <f>+K158-((K158*0.2888*0.125)+(K158*(1-0.2888)*0.26))</f>
        <v>5.833841132</v>
      </c>
      <c r="M158" s="101">
        <v>0</v>
      </c>
      <c r="N158" s="56" t="s">
        <v>249</v>
      </c>
      <c r="IT158" s="150"/>
      <c r="IU158"/>
    </row>
    <row r="159" spans="1:255" s="13" customFormat="1" ht="24.75" customHeight="1">
      <c r="A159" s="56"/>
      <c r="B159" s="56" t="s">
        <v>223</v>
      </c>
      <c r="C159" s="216" t="s">
        <v>490</v>
      </c>
      <c r="D159" s="78" t="s">
        <v>413</v>
      </c>
      <c r="E159" s="78">
        <v>44403</v>
      </c>
      <c r="F159" s="78">
        <v>44404</v>
      </c>
      <c r="G159" s="78">
        <v>44407</v>
      </c>
      <c r="H159" s="104"/>
      <c r="I159" s="104">
        <v>14.5716</v>
      </c>
      <c r="J159" s="104">
        <v>0</v>
      </c>
      <c r="K159" s="104">
        <v>14.5716</v>
      </c>
      <c r="L159" s="60">
        <f>+K159-((K159*0.000000000001*0.125)+(K159*(1-0.000000000001)*0.26))</f>
        <v>10.782984000001967</v>
      </c>
      <c r="M159" s="101">
        <v>0</v>
      </c>
      <c r="N159" s="56" t="s">
        <v>250</v>
      </c>
      <c r="IT159" s="150"/>
      <c r="IU159"/>
    </row>
    <row r="160" spans="1:255" s="13" customFormat="1" ht="24.75" customHeight="1">
      <c r="A160" s="56"/>
      <c r="B160" s="56" t="s">
        <v>219</v>
      </c>
      <c r="C160" s="216" t="s">
        <v>487</v>
      </c>
      <c r="D160" s="78" t="s">
        <v>410</v>
      </c>
      <c r="E160" s="78">
        <v>44403</v>
      </c>
      <c r="F160" s="78">
        <v>44404</v>
      </c>
      <c r="G160" s="78">
        <v>44407</v>
      </c>
      <c r="H160" s="104"/>
      <c r="I160" s="104">
        <v>7.1856</v>
      </c>
      <c r="J160" s="104">
        <v>0</v>
      </c>
      <c r="K160" s="104">
        <v>7.1856</v>
      </c>
      <c r="L160" s="60">
        <f>+K160-((K160*0.0032*0.125)+(K160*(1-0.0032)*0.26))</f>
        <v>5.3204481792</v>
      </c>
      <c r="M160" s="101">
        <v>0</v>
      </c>
      <c r="N160" s="56" t="s">
        <v>249</v>
      </c>
      <c r="IT160" s="150"/>
      <c r="IU160"/>
    </row>
    <row r="161" spans="1:255" s="13" customFormat="1" ht="24.75" customHeight="1">
      <c r="A161" s="56"/>
      <c r="B161" s="56" t="s">
        <v>221</v>
      </c>
      <c r="C161" s="216" t="s">
        <v>486</v>
      </c>
      <c r="D161" s="78" t="s">
        <v>410</v>
      </c>
      <c r="E161" s="78">
        <v>44403</v>
      </c>
      <c r="F161" s="78">
        <v>44404</v>
      </c>
      <c r="G161" s="78">
        <v>44407</v>
      </c>
      <c r="H161" s="104"/>
      <c r="I161" s="104">
        <v>0</v>
      </c>
      <c r="J161" s="104">
        <v>0</v>
      </c>
      <c r="K161" s="104">
        <v>0</v>
      </c>
      <c r="L161" s="60">
        <f>+K161-((K161*0.0032*0.125)+(K161*(1-0.0032)*0.26))</f>
        <v>0</v>
      </c>
      <c r="M161" s="101">
        <v>0</v>
      </c>
      <c r="N161" s="56" t="s">
        <v>249</v>
      </c>
      <c r="IT161" s="150"/>
      <c r="IU161"/>
    </row>
    <row r="162" spans="1:255" s="13" customFormat="1" ht="24.75" customHeight="1">
      <c r="A162" s="56"/>
      <c r="B162" s="56" t="s">
        <v>488</v>
      </c>
      <c r="C162" s="216" t="s">
        <v>489</v>
      </c>
      <c r="D162" s="78" t="s">
        <v>413</v>
      </c>
      <c r="E162" s="78">
        <v>44403</v>
      </c>
      <c r="F162" s="78">
        <v>44404</v>
      </c>
      <c r="G162" s="78">
        <v>44407</v>
      </c>
      <c r="H162" s="104"/>
      <c r="I162" s="104">
        <v>18.3407</v>
      </c>
      <c r="J162" s="104">
        <v>0</v>
      </c>
      <c r="K162" s="104">
        <v>18.3407</v>
      </c>
      <c r="L162" s="60">
        <f>+K162-((K162*0.0032*0.125)+(K162*(1-0.0032)*0.26))</f>
        <v>13.580041182399999</v>
      </c>
      <c r="M162" s="101">
        <v>0</v>
      </c>
      <c r="N162" s="56" t="s">
        <v>250</v>
      </c>
      <c r="IT162" s="150"/>
      <c r="IU162"/>
    </row>
    <row r="163" spans="1:255" s="13" customFormat="1" ht="24.75" customHeight="1">
      <c r="A163" s="56"/>
      <c r="B163" s="56" t="s">
        <v>491</v>
      </c>
      <c r="C163" s="216" t="s">
        <v>525</v>
      </c>
      <c r="D163" s="78" t="s">
        <v>413</v>
      </c>
      <c r="E163" s="78">
        <v>44403</v>
      </c>
      <c r="F163" s="78">
        <v>44404</v>
      </c>
      <c r="G163" s="78">
        <v>44407</v>
      </c>
      <c r="H163" s="104"/>
      <c r="I163" s="104">
        <v>20.966</v>
      </c>
      <c r="J163" s="104">
        <v>0</v>
      </c>
      <c r="K163" s="104">
        <v>20.966</v>
      </c>
      <c r="L163" s="60">
        <f>+K163-((K163*0.2441*0.125)+(K163*(1-0.2441)*0.26))</f>
        <v>16.205743081</v>
      </c>
      <c r="M163" s="101">
        <v>0</v>
      </c>
      <c r="N163" s="56" t="s">
        <v>250</v>
      </c>
      <c r="IT163" s="150"/>
      <c r="IU163"/>
    </row>
    <row r="164" spans="1:255" s="13" customFormat="1" ht="24.75" customHeight="1">
      <c r="A164" s="56"/>
      <c r="B164" s="56" t="s">
        <v>218</v>
      </c>
      <c r="C164" s="216" t="s">
        <v>455</v>
      </c>
      <c r="D164" s="78" t="s">
        <v>413</v>
      </c>
      <c r="E164" s="78">
        <v>44403</v>
      </c>
      <c r="F164" s="78">
        <v>44404</v>
      </c>
      <c r="G164" s="78">
        <v>44407</v>
      </c>
      <c r="H164" s="104"/>
      <c r="I164" s="104">
        <v>20.5788</v>
      </c>
      <c r="J164" s="104">
        <v>0</v>
      </c>
      <c r="K164" s="104">
        <v>20.5788</v>
      </c>
      <c r="L164" s="60">
        <f>+K164-((K164*0.2441*0.125)+(K164*(1-0.2441)*0.26))</f>
        <v>15.9064554858</v>
      </c>
      <c r="M164" s="101">
        <v>0</v>
      </c>
      <c r="N164" s="56" t="s">
        <v>250</v>
      </c>
      <c r="IT164" s="150"/>
      <c r="IU164"/>
    </row>
    <row r="165" spans="1:255" s="13" customFormat="1" ht="24.75" customHeight="1">
      <c r="A165" s="56"/>
      <c r="B165" s="56" t="s">
        <v>493</v>
      </c>
      <c r="C165" s="216" t="s">
        <v>685</v>
      </c>
      <c r="D165" s="78" t="s">
        <v>413</v>
      </c>
      <c r="E165" s="78">
        <v>44403</v>
      </c>
      <c r="F165" s="78">
        <v>44404</v>
      </c>
      <c r="G165" s="78">
        <v>44407</v>
      </c>
      <c r="H165" s="104"/>
      <c r="I165" s="104">
        <v>28.0093</v>
      </c>
      <c r="J165" s="104">
        <v>0</v>
      </c>
      <c r="K165" s="104">
        <v>28.0093</v>
      </c>
      <c r="L165" s="60">
        <f>+K165-((K165*0.1276*0.125)+(K165*(1-0.1276)*0.26))</f>
        <v>21.2093702018</v>
      </c>
      <c r="M165" s="101">
        <v>0</v>
      </c>
      <c r="N165" s="56" t="s">
        <v>250</v>
      </c>
      <c r="IT165" s="150"/>
      <c r="IU165"/>
    </row>
    <row r="166" spans="1:14" s="37" customFormat="1" ht="15">
      <c r="A166" s="248"/>
      <c r="B166" s="56" t="s">
        <v>293</v>
      </c>
      <c r="C166" s="216" t="s">
        <v>558</v>
      </c>
      <c r="D166" s="56" t="s">
        <v>412</v>
      </c>
      <c r="E166" s="78">
        <v>44452</v>
      </c>
      <c r="F166" s="78">
        <v>44453</v>
      </c>
      <c r="G166" s="78">
        <v>44456</v>
      </c>
      <c r="H166" s="58"/>
      <c r="I166" s="104">
        <v>7.16</v>
      </c>
      <c r="J166" s="104">
        <v>0</v>
      </c>
      <c r="K166" s="104">
        <v>7.16</v>
      </c>
      <c r="L166" s="60">
        <f>+K166-((K166*0.0000000001*0.125)+(K166*(1-0.0000000001)*0.26))</f>
        <v>5.29840000009666</v>
      </c>
      <c r="M166" s="101">
        <f aca="true" t="shared" si="5" ref="M166:M197">L166+J166</f>
        <v>5.29840000009666</v>
      </c>
      <c r="N166" s="56" t="s">
        <v>288</v>
      </c>
    </row>
    <row r="167" spans="1:255" s="37" customFormat="1" ht="15">
      <c r="A167" s="199"/>
      <c r="B167" s="56" t="s">
        <v>295</v>
      </c>
      <c r="C167" s="216" t="s">
        <v>462</v>
      </c>
      <c r="D167" s="56" t="s">
        <v>412</v>
      </c>
      <c r="E167" s="78">
        <v>44452</v>
      </c>
      <c r="F167" s="78">
        <v>44453</v>
      </c>
      <c r="G167" s="78">
        <v>44456</v>
      </c>
      <c r="H167" s="58"/>
      <c r="I167" s="104">
        <v>64.27</v>
      </c>
      <c r="J167" s="104">
        <v>0</v>
      </c>
      <c r="K167" s="104">
        <v>64.27</v>
      </c>
      <c r="L167" s="60">
        <f>+K167-((K167*0.28008*0.125)+(K167*(1-0.28008)*0.26))</f>
        <v>49.989900115999994</v>
      </c>
      <c r="M167" s="101">
        <f t="shared" si="5"/>
        <v>49.989900115999994</v>
      </c>
      <c r="N167" s="56" t="s">
        <v>288</v>
      </c>
      <c r="IU167" s="249"/>
    </row>
    <row r="168" spans="1:14" s="37" customFormat="1" ht="15">
      <c r="A168" s="199"/>
      <c r="B168" s="56" t="s">
        <v>561</v>
      </c>
      <c r="C168" s="216" t="s">
        <v>565</v>
      </c>
      <c r="D168" s="56" t="s">
        <v>412</v>
      </c>
      <c r="E168" s="78">
        <v>44452</v>
      </c>
      <c r="F168" s="78">
        <v>44453</v>
      </c>
      <c r="G168" s="78">
        <v>44456</v>
      </c>
      <c r="H168" s="58"/>
      <c r="I168" s="104">
        <v>33.44</v>
      </c>
      <c r="J168" s="104">
        <v>0</v>
      </c>
      <c r="K168" s="104">
        <v>33.44</v>
      </c>
      <c r="L168" s="60">
        <f>+K168-((K168*0.4182*0.125)+(K168*(1-0.4182)*0.26))</f>
        <v>26.63352208</v>
      </c>
      <c r="M168" s="101">
        <f t="shared" si="5"/>
        <v>26.63352208</v>
      </c>
      <c r="N168" s="56" t="s">
        <v>288</v>
      </c>
    </row>
    <row r="169" spans="1:14" s="37" customFormat="1" ht="15">
      <c r="A169" s="199"/>
      <c r="B169" s="56" t="s">
        <v>297</v>
      </c>
      <c r="C169" s="216" t="s">
        <v>464</v>
      </c>
      <c r="D169" s="56" t="s">
        <v>412</v>
      </c>
      <c r="E169" s="78">
        <v>44452</v>
      </c>
      <c r="F169" s="78">
        <v>44453</v>
      </c>
      <c r="G169" s="78">
        <v>44456</v>
      </c>
      <c r="H169" s="58"/>
      <c r="I169" s="104">
        <v>44.84</v>
      </c>
      <c r="J169" s="104">
        <v>0</v>
      </c>
      <c r="K169" s="104">
        <v>44.84</v>
      </c>
      <c r="L169" s="60">
        <f>+K169-((K169*0.7506*0.125)+(K169*(1-0.7506)*0.26))</f>
        <v>37.72528204</v>
      </c>
      <c r="M169" s="101">
        <f t="shared" si="5"/>
        <v>37.72528204</v>
      </c>
      <c r="N169" s="56" t="s">
        <v>288</v>
      </c>
    </row>
    <row r="170" spans="1:255" s="37" customFormat="1" ht="15">
      <c r="A170" s="248"/>
      <c r="B170" s="56" t="s">
        <v>290</v>
      </c>
      <c r="C170" s="216" t="s">
        <v>461</v>
      </c>
      <c r="D170" s="56" t="s">
        <v>412</v>
      </c>
      <c r="E170" s="78">
        <v>44452</v>
      </c>
      <c r="F170" s="78">
        <v>44453</v>
      </c>
      <c r="G170" s="78">
        <v>44456</v>
      </c>
      <c r="H170" s="58"/>
      <c r="I170" s="104">
        <v>6.38</v>
      </c>
      <c r="J170" s="104">
        <v>0</v>
      </c>
      <c r="K170" s="104">
        <v>6.38</v>
      </c>
      <c r="L170" s="60">
        <f>+K170-((K170*0.447*0.125)+(K170*(1-0.447)*0.26))</f>
        <v>5.1062011</v>
      </c>
      <c r="M170" s="101">
        <f t="shared" si="5"/>
        <v>5.1062011</v>
      </c>
      <c r="N170" s="56" t="s">
        <v>288</v>
      </c>
      <c r="IU170" s="250"/>
    </row>
    <row r="171" spans="1:14" s="37" customFormat="1" ht="15">
      <c r="A171" s="248"/>
      <c r="B171" s="56" t="s">
        <v>291</v>
      </c>
      <c r="C171" s="216" t="s">
        <v>463</v>
      </c>
      <c r="D171" s="56" t="s">
        <v>412</v>
      </c>
      <c r="E171" s="78">
        <v>44452</v>
      </c>
      <c r="F171" s="78">
        <v>44453</v>
      </c>
      <c r="G171" s="78">
        <v>44456</v>
      </c>
      <c r="H171" s="58"/>
      <c r="I171" s="104">
        <v>10.77</v>
      </c>
      <c r="J171" s="104">
        <v>0</v>
      </c>
      <c r="K171" s="104">
        <v>10.77</v>
      </c>
      <c r="L171" s="60">
        <f>+K171-((K171*0.0019*0.125)+(K171*(1-0.0019)*0.26))</f>
        <v>7.972562504999999</v>
      </c>
      <c r="M171" s="101">
        <f t="shared" si="5"/>
        <v>7.972562504999999</v>
      </c>
      <c r="N171" s="56" t="s">
        <v>288</v>
      </c>
    </row>
    <row r="172" spans="1:14" s="37" customFormat="1" ht="15">
      <c r="A172" s="199"/>
      <c r="B172" s="56" t="s">
        <v>560</v>
      </c>
      <c r="C172" s="216" t="s">
        <v>564</v>
      </c>
      <c r="D172" s="56" t="s">
        <v>412</v>
      </c>
      <c r="E172" s="78">
        <v>44452</v>
      </c>
      <c r="F172" s="78">
        <v>44453</v>
      </c>
      <c r="G172" s="78">
        <v>44456</v>
      </c>
      <c r="H172" s="58"/>
      <c r="I172" s="104">
        <v>29.53</v>
      </c>
      <c r="J172" s="104">
        <v>0</v>
      </c>
      <c r="K172" s="104">
        <v>29.53</v>
      </c>
      <c r="L172" s="60">
        <f>+K172-((K172*0.0000000001*0.125)+(K172*(1-0.0000000001)*0.26))</f>
        <v>21.852200000398657</v>
      </c>
      <c r="M172" s="101">
        <f t="shared" si="5"/>
        <v>21.852200000398657</v>
      </c>
      <c r="N172" s="56" t="s">
        <v>288</v>
      </c>
    </row>
    <row r="173" spans="1:14" s="37" customFormat="1" ht="15">
      <c r="A173" s="199"/>
      <c r="B173" s="56" t="s">
        <v>294</v>
      </c>
      <c r="C173" s="216" t="s">
        <v>465</v>
      </c>
      <c r="D173" s="56" t="s">
        <v>412</v>
      </c>
      <c r="E173" s="78">
        <v>44452</v>
      </c>
      <c r="F173" s="78">
        <v>44453</v>
      </c>
      <c r="G173" s="78">
        <v>44456</v>
      </c>
      <c r="H173" s="58"/>
      <c r="I173" s="104">
        <v>43.29</v>
      </c>
      <c r="J173" s="104">
        <v>0</v>
      </c>
      <c r="K173" s="104">
        <v>43.29</v>
      </c>
      <c r="L173" s="60">
        <f>+K173-((K173*0.1445*0.125)+(K173*(1-0.1445)*0.26))</f>
        <v>32.879079675</v>
      </c>
      <c r="M173" s="101">
        <f t="shared" si="5"/>
        <v>32.879079675</v>
      </c>
      <c r="N173" s="56" t="s">
        <v>288</v>
      </c>
    </row>
    <row r="174" spans="1:15" s="37" customFormat="1" ht="15">
      <c r="A174" s="199"/>
      <c r="B174" s="56" t="s">
        <v>720</v>
      </c>
      <c r="C174" s="216" t="s">
        <v>722</v>
      </c>
      <c r="D174" s="56" t="s">
        <v>412</v>
      </c>
      <c r="E174" s="78">
        <v>44452</v>
      </c>
      <c r="F174" s="78">
        <v>44453</v>
      </c>
      <c r="G174" s="78">
        <v>44456</v>
      </c>
      <c r="H174" s="58"/>
      <c r="I174" s="104">
        <v>0</v>
      </c>
      <c r="J174" s="104">
        <v>0</v>
      </c>
      <c r="K174" s="104">
        <v>0</v>
      </c>
      <c r="L174" s="60">
        <f>+K174-((K174*0.000001*0.125)+(K174*(1-0.000001)*0.26))</f>
        <v>0</v>
      </c>
      <c r="M174" s="101">
        <f t="shared" si="5"/>
        <v>0</v>
      </c>
      <c r="N174" s="56" t="s">
        <v>288</v>
      </c>
      <c r="O174" s="251"/>
    </row>
    <row r="175" spans="1:14" s="37" customFormat="1" ht="15">
      <c r="A175" s="199"/>
      <c r="B175" s="56" t="s">
        <v>559</v>
      </c>
      <c r="C175" s="216" t="s">
        <v>563</v>
      </c>
      <c r="D175" s="56" t="s">
        <v>412</v>
      </c>
      <c r="E175" s="78">
        <v>44452</v>
      </c>
      <c r="F175" s="78">
        <v>44453</v>
      </c>
      <c r="G175" s="78">
        <v>44456</v>
      </c>
      <c r="H175" s="58"/>
      <c r="I175" s="104">
        <v>19.91</v>
      </c>
      <c r="J175" s="104">
        <v>0</v>
      </c>
      <c r="K175" s="104">
        <v>19.91</v>
      </c>
      <c r="L175" s="60">
        <f>+K175-((K175*0.4234*0.125)+(K175*(1-0.4234)*0.26))</f>
        <v>15.87143569</v>
      </c>
      <c r="M175" s="101">
        <f t="shared" si="5"/>
        <v>15.87143569</v>
      </c>
      <c r="N175" s="56" t="s">
        <v>288</v>
      </c>
    </row>
    <row r="176" spans="1:14" s="37" customFormat="1" ht="15">
      <c r="A176" s="199"/>
      <c r="B176" s="56" t="s">
        <v>292</v>
      </c>
      <c r="C176" s="216" t="s">
        <v>499</v>
      </c>
      <c r="D176" s="56" t="s">
        <v>412</v>
      </c>
      <c r="E176" s="78">
        <v>44452</v>
      </c>
      <c r="F176" s="78">
        <v>44453</v>
      </c>
      <c r="G176" s="78">
        <v>44456</v>
      </c>
      <c r="H176" s="58"/>
      <c r="I176" s="104">
        <v>1.45</v>
      </c>
      <c r="J176" s="104">
        <v>0</v>
      </c>
      <c r="K176" s="104">
        <v>1.45</v>
      </c>
      <c r="L176" s="60">
        <f>+K176-((K176*0.5961*0.125)+(K176*(1-0.5961)*0.26))</f>
        <v>1.189686575</v>
      </c>
      <c r="M176" s="101">
        <f t="shared" si="5"/>
        <v>1.189686575</v>
      </c>
      <c r="N176" s="56" t="s">
        <v>288</v>
      </c>
    </row>
    <row r="177" spans="1:14" s="37" customFormat="1" ht="15">
      <c r="A177" s="199"/>
      <c r="B177" s="56" t="s">
        <v>721</v>
      </c>
      <c r="C177" s="252" t="s">
        <v>723</v>
      </c>
      <c r="D177" s="56" t="s">
        <v>412</v>
      </c>
      <c r="E177" s="78">
        <v>44452</v>
      </c>
      <c r="F177" s="78">
        <v>44453</v>
      </c>
      <c r="G177" s="78">
        <v>44456</v>
      </c>
      <c r="H177" s="58"/>
      <c r="I177" s="104">
        <v>0</v>
      </c>
      <c r="J177" s="104">
        <v>0</v>
      </c>
      <c r="K177" s="104">
        <v>0</v>
      </c>
      <c r="L177" s="60">
        <f>+K177-((K177*0.00001*0.125)+(K177*(1-0.000001)*0.26))</f>
        <v>0</v>
      </c>
      <c r="M177" s="101">
        <f t="shared" si="5"/>
        <v>0</v>
      </c>
      <c r="N177" s="56" t="s">
        <v>288</v>
      </c>
    </row>
    <row r="178" spans="1:14" s="37" customFormat="1" ht="15">
      <c r="A178" s="199"/>
      <c r="B178" s="56" t="s">
        <v>562</v>
      </c>
      <c r="C178" s="216" t="s">
        <v>566</v>
      </c>
      <c r="D178" s="56" t="s">
        <v>412</v>
      </c>
      <c r="E178" s="78">
        <v>44452</v>
      </c>
      <c r="F178" s="78">
        <v>44453</v>
      </c>
      <c r="G178" s="78">
        <v>44456</v>
      </c>
      <c r="H178" s="58"/>
      <c r="I178" s="104">
        <v>13</v>
      </c>
      <c r="J178" s="104">
        <v>0</v>
      </c>
      <c r="K178" s="104">
        <v>13</v>
      </c>
      <c r="L178" s="60">
        <f>+K178-((K178*0.2128*0.125)+(K178*(1-0.2128)*0.26))</f>
        <v>9.993464</v>
      </c>
      <c r="M178" s="101">
        <f t="shared" si="5"/>
        <v>9.993464</v>
      </c>
      <c r="N178" s="56" t="s">
        <v>288</v>
      </c>
    </row>
    <row r="179" spans="1:14" s="37" customFormat="1" ht="15">
      <c r="A179" s="199"/>
      <c r="B179" s="56" t="s">
        <v>296</v>
      </c>
      <c r="C179" s="216" t="s">
        <v>466</v>
      </c>
      <c r="D179" s="56" t="s">
        <v>412</v>
      </c>
      <c r="E179" s="78">
        <v>44452</v>
      </c>
      <c r="F179" s="78">
        <v>44453</v>
      </c>
      <c r="G179" s="78">
        <v>44456</v>
      </c>
      <c r="H179" s="58"/>
      <c r="I179" s="104">
        <v>51.38</v>
      </c>
      <c r="J179" s="104">
        <v>0</v>
      </c>
      <c r="K179" s="104">
        <v>51.38</v>
      </c>
      <c r="L179" s="60">
        <f>+K179-((K179*0.066*0.125)+(K179*(1-0.066)*0.26))</f>
        <v>38.4789958</v>
      </c>
      <c r="M179" s="101">
        <f t="shared" si="5"/>
        <v>38.4789958</v>
      </c>
      <c r="N179" s="56" t="s">
        <v>288</v>
      </c>
    </row>
    <row r="180" spans="1:14" s="37" customFormat="1" ht="15">
      <c r="A180" s="199"/>
      <c r="B180" s="56" t="s">
        <v>216</v>
      </c>
      <c r="C180" s="216" t="s">
        <v>456</v>
      </c>
      <c r="D180" s="56" t="s">
        <v>410</v>
      </c>
      <c r="E180" s="78">
        <v>44468</v>
      </c>
      <c r="F180" s="78">
        <v>44469</v>
      </c>
      <c r="G180" s="78">
        <v>44474</v>
      </c>
      <c r="H180" s="58"/>
      <c r="I180" s="104">
        <v>0</v>
      </c>
      <c r="J180" s="104">
        <v>0</v>
      </c>
      <c r="K180" s="104">
        <v>0</v>
      </c>
      <c r="L180" s="60">
        <f>+K180-((K180*0.073*0.125)+(K180*(1-0.073)*0.26))</f>
        <v>0</v>
      </c>
      <c r="M180" s="101">
        <f t="shared" si="5"/>
        <v>0</v>
      </c>
      <c r="N180" s="56" t="s">
        <v>247</v>
      </c>
    </row>
    <row r="181" spans="1:14" s="37" customFormat="1" ht="15">
      <c r="A181" s="199"/>
      <c r="B181" s="56" t="s">
        <v>693</v>
      </c>
      <c r="C181" s="216" t="s">
        <v>716</v>
      </c>
      <c r="D181" s="56" t="s">
        <v>410</v>
      </c>
      <c r="E181" s="78">
        <v>44468</v>
      </c>
      <c r="F181" s="78">
        <v>44469</v>
      </c>
      <c r="G181" s="78">
        <v>44474</v>
      </c>
      <c r="H181" s="58"/>
      <c r="I181" s="104">
        <v>0</v>
      </c>
      <c r="J181" s="104">
        <v>0</v>
      </c>
      <c r="K181" s="104">
        <v>0</v>
      </c>
      <c r="L181" s="60">
        <f>+K181-((K181*0.00000000001*0.125)+(K181*(1-0.0000000001)*0.26))</f>
        <v>0</v>
      </c>
      <c r="M181" s="101">
        <f t="shared" si="5"/>
        <v>0</v>
      </c>
      <c r="N181" s="56" t="s">
        <v>247</v>
      </c>
    </row>
    <row r="182" spans="1:14" s="37" customFormat="1" ht="15">
      <c r="A182" s="199"/>
      <c r="B182" s="56" t="s">
        <v>692</v>
      </c>
      <c r="C182" s="216" t="s">
        <v>715</v>
      </c>
      <c r="D182" s="56" t="s">
        <v>410</v>
      </c>
      <c r="E182" s="78">
        <v>44468</v>
      </c>
      <c r="F182" s="78">
        <v>44469</v>
      </c>
      <c r="G182" s="78">
        <v>44474</v>
      </c>
      <c r="H182" s="58"/>
      <c r="I182" s="104">
        <v>6.464828</v>
      </c>
      <c r="J182" s="104">
        <v>0</v>
      </c>
      <c r="K182" s="104">
        <v>6.464828</v>
      </c>
      <c r="L182" s="60">
        <f>+K182-((K182*0.0856*0.125)+(K182*(1-0.0856)*0.26))</f>
        <v>4.858680272368</v>
      </c>
      <c r="M182" s="101">
        <f t="shared" si="5"/>
        <v>4.858680272368</v>
      </c>
      <c r="N182" s="56" t="s">
        <v>247</v>
      </c>
    </row>
    <row r="183" spans="1:14" s="37" customFormat="1" ht="15">
      <c r="A183" s="199"/>
      <c r="B183" s="56" t="s">
        <v>215</v>
      </c>
      <c r="C183" s="216" t="s">
        <v>457</v>
      </c>
      <c r="D183" s="56" t="s">
        <v>410</v>
      </c>
      <c r="E183" s="57">
        <v>44469</v>
      </c>
      <c r="F183" s="57">
        <v>44470</v>
      </c>
      <c r="G183" s="57">
        <v>44475</v>
      </c>
      <c r="H183" s="58"/>
      <c r="I183" s="104">
        <v>0</v>
      </c>
      <c r="J183" s="104">
        <v>0</v>
      </c>
      <c r="K183" s="104">
        <v>0</v>
      </c>
      <c r="L183" s="60">
        <f>+K183-((K183*0.28008*0.125)+(K183*(1-0.28008)*0.26))</f>
        <v>0</v>
      </c>
      <c r="M183" s="101">
        <f t="shared" si="5"/>
        <v>0</v>
      </c>
      <c r="N183" s="56" t="s">
        <v>248</v>
      </c>
    </row>
    <row r="184" spans="1:14" s="37" customFormat="1" ht="15">
      <c r="A184" s="199"/>
      <c r="B184" s="56" t="s">
        <v>203</v>
      </c>
      <c r="C184" s="216" t="s">
        <v>445</v>
      </c>
      <c r="D184" s="56" t="s">
        <v>410</v>
      </c>
      <c r="E184" s="57">
        <v>44469</v>
      </c>
      <c r="F184" s="57">
        <v>44470</v>
      </c>
      <c r="G184" s="57">
        <v>44475</v>
      </c>
      <c r="H184" s="169"/>
      <c r="I184" s="104">
        <v>1.054</v>
      </c>
      <c r="J184" s="104">
        <v>0</v>
      </c>
      <c r="K184" s="104">
        <v>1.054</v>
      </c>
      <c r="L184" s="60">
        <f>+K184-((K184*0.447*0.125)+(K184*(1-0.447)*0.26))</f>
        <v>0.84356363</v>
      </c>
      <c r="M184" s="101">
        <f t="shared" si="5"/>
        <v>0.84356363</v>
      </c>
      <c r="N184" s="56" t="s">
        <v>248</v>
      </c>
    </row>
    <row r="185" spans="1:14" s="37" customFormat="1" ht="15">
      <c r="A185" s="199"/>
      <c r="B185" s="56" t="s">
        <v>204</v>
      </c>
      <c r="C185" s="216" t="s">
        <v>446</v>
      </c>
      <c r="D185" s="56" t="s">
        <v>410</v>
      </c>
      <c r="E185" s="57">
        <v>44469</v>
      </c>
      <c r="F185" s="57">
        <v>44470</v>
      </c>
      <c r="G185" s="57">
        <v>44475</v>
      </c>
      <c r="H185" s="58"/>
      <c r="I185" s="104">
        <v>1.1649</v>
      </c>
      <c r="J185" s="104">
        <v>0</v>
      </c>
      <c r="K185" s="104">
        <v>1.1649</v>
      </c>
      <c r="L185" s="60">
        <f>+K185-((K185*0.0019*0.125)+(K185*(1-0.0019)*0.26))</f>
        <v>0.86232479685</v>
      </c>
      <c r="M185" s="101">
        <f t="shared" si="5"/>
        <v>0.86232479685</v>
      </c>
      <c r="N185" s="56" t="s">
        <v>248</v>
      </c>
    </row>
    <row r="186" spans="1:255" s="37" customFormat="1" ht="15">
      <c r="A186" s="199"/>
      <c r="B186" s="56" t="s">
        <v>207</v>
      </c>
      <c r="C186" s="216" t="s">
        <v>447</v>
      </c>
      <c r="D186" s="56" t="s">
        <v>410</v>
      </c>
      <c r="E186" s="57">
        <v>44469</v>
      </c>
      <c r="F186" s="57">
        <v>44470</v>
      </c>
      <c r="G186" s="57">
        <v>44475</v>
      </c>
      <c r="H186" s="58"/>
      <c r="I186" s="104">
        <v>0.5282</v>
      </c>
      <c r="J186" s="104">
        <v>0</v>
      </c>
      <c r="K186" s="104">
        <v>0.5282</v>
      </c>
      <c r="L186" s="60">
        <f>+K186-((K186*0.8672*0.125)+(K186*(1-0.8672)*0.26))</f>
        <v>0.4527054304</v>
      </c>
      <c r="M186" s="101">
        <f t="shared" si="5"/>
        <v>0.4527054304</v>
      </c>
      <c r="N186" s="56" t="s">
        <v>248</v>
      </c>
      <c r="IU186" s="250"/>
    </row>
    <row r="187" spans="1:255" s="37" customFormat="1" ht="15">
      <c r="A187" s="199"/>
      <c r="B187" s="56" t="s">
        <v>209</v>
      </c>
      <c r="C187" s="216" t="s">
        <v>458</v>
      </c>
      <c r="D187" s="56" t="s">
        <v>410</v>
      </c>
      <c r="E187" s="57">
        <v>44469</v>
      </c>
      <c r="F187" s="57">
        <v>44470</v>
      </c>
      <c r="G187" s="57">
        <v>44475</v>
      </c>
      <c r="H187" s="58"/>
      <c r="I187" s="104">
        <v>0</v>
      </c>
      <c r="J187" s="104">
        <v>0</v>
      </c>
      <c r="K187" s="104">
        <v>0</v>
      </c>
      <c r="L187" s="60">
        <f>+K187-((K187*0.1445*0.125)+(K187*(1-0.1445)*0.26))</f>
        <v>0</v>
      </c>
      <c r="M187" s="101">
        <f t="shared" si="5"/>
        <v>0</v>
      </c>
      <c r="N187" s="56" t="s">
        <v>248</v>
      </c>
      <c r="IU187" s="249"/>
    </row>
    <row r="188" spans="1:255" s="37" customFormat="1" ht="15">
      <c r="A188" s="199"/>
      <c r="B188" s="56" t="s">
        <v>205</v>
      </c>
      <c r="C188" s="216" t="s">
        <v>448</v>
      </c>
      <c r="D188" s="56" t="s">
        <v>410</v>
      </c>
      <c r="E188" s="57">
        <v>44469</v>
      </c>
      <c r="F188" s="57">
        <v>44470</v>
      </c>
      <c r="G188" s="57">
        <v>44475</v>
      </c>
      <c r="H188" s="58"/>
      <c r="I188" s="104">
        <v>3.9231</v>
      </c>
      <c r="J188" s="104">
        <v>0</v>
      </c>
      <c r="K188" s="104">
        <v>3.9231</v>
      </c>
      <c r="L188" s="60">
        <f>+K188-((K188*0.4234*0.125)+(K188*(1-0.4234)*0.26))</f>
        <v>3.1273344729</v>
      </c>
      <c r="M188" s="101">
        <f t="shared" si="5"/>
        <v>3.1273344729</v>
      </c>
      <c r="N188" s="56" t="s">
        <v>248</v>
      </c>
      <c r="IU188" s="249"/>
    </row>
    <row r="189" spans="1:14" s="37" customFormat="1" ht="15">
      <c r="A189" s="199"/>
      <c r="B189" s="56" t="s">
        <v>206</v>
      </c>
      <c r="C189" s="216" t="s">
        <v>449</v>
      </c>
      <c r="D189" s="56" t="s">
        <v>410</v>
      </c>
      <c r="E189" s="57">
        <v>44469</v>
      </c>
      <c r="F189" s="57">
        <v>44470</v>
      </c>
      <c r="G189" s="57">
        <v>44475</v>
      </c>
      <c r="H189" s="58"/>
      <c r="I189" s="104">
        <v>3.7574</v>
      </c>
      <c r="J189" s="104">
        <v>0</v>
      </c>
      <c r="K189" s="104">
        <v>3.7574</v>
      </c>
      <c r="L189" s="60">
        <f>+K189-((K189*0.4234*0.125)+(K189*(1-0.4234)*0.26))</f>
        <v>2.9952452266000003</v>
      </c>
      <c r="M189" s="101">
        <f t="shared" si="5"/>
        <v>2.9952452266000003</v>
      </c>
      <c r="N189" s="56" t="s">
        <v>248</v>
      </c>
    </row>
    <row r="190" spans="1:14" s="37" customFormat="1" ht="15">
      <c r="A190" s="199"/>
      <c r="B190" s="56" t="s">
        <v>508</v>
      </c>
      <c r="C190" s="216" t="s">
        <v>509</v>
      </c>
      <c r="D190" s="56" t="s">
        <v>410</v>
      </c>
      <c r="E190" s="57">
        <v>44469</v>
      </c>
      <c r="F190" s="57">
        <v>44470</v>
      </c>
      <c r="G190" s="57">
        <v>44475</v>
      </c>
      <c r="H190" s="58"/>
      <c r="I190" s="104">
        <v>3.8198</v>
      </c>
      <c r="J190" s="104">
        <v>0</v>
      </c>
      <c r="K190" s="104">
        <v>3.8198</v>
      </c>
      <c r="L190" s="60">
        <f>+K190-((K190*0.0215*0.125)+(K190*(1-0.0215)*0.26))</f>
        <v>2.8377389694999997</v>
      </c>
      <c r="M190" s="101">
        <f t="shared" si="5"/>
        <v>2.8377389694999997</v>
      </c>
      <c r="N190" s="56" t="s">
        <v>248</v>
      </c>
    </row>
    <row r="191" spans="1:255" s="37" customFormat="1" ht="15">
      <c r="A191" s="64"/>
      <c r="B191" s="56" t="s">
        <v>212</v>
      </c>
      <c r="C191" s="216" t="s">
        <v>450</v>
      </c>
      <c r="D191" s="56" t="s">
        <v>410</v>
      </c>
      <c r="E191" s="57">
        <v>44469</v>
      </c>
      <c r="F191" s="57">
        <v>44470</v>
      </c>
      <c r="G191" s="57">
        <v>44475</v>
      </c>
      <c r="H191" s="58"/>
      <c r="I191" s="104">
        <v>7.1507</v>
      </c>
      <c r="J191" s="104">
        <v>0</v>
      </c>
      <c r="K191" s="104">
        <v>7.1507</v>
      </c>
      <c r="L191" s="60">
        <f>+K191-((K191*0.0024*0.125)+(K191*(1-0.0024)*0.26))</f>
        <v>5.2938348267999995</v>
      </c>
      <c r="M191" s="101">
        <f t="shared" si="5"/>
        <v>5.2938348267999995</v>
      </c>
      <c r="N191" s="56" t="s">
        <v>248</v>
      </c>
      <c r="IU191" s="249"/>
    </row>
    <row r="192" spans="1:14" s="37" customFormat="1" ht="15">
      <c r="A192" s="199"/>
      <c r="B192" s="56" t="s">
        <v>208</v>
      </c>
      <c r="C192" s="216" t="s">
        <v>451</v>
      </c>
      <c r="D192" s="56" t="s">
        <v>410</v>
      </c>
      <c r="E192" s="57">
        <v>44469</v>
      </c>
      <c r="F192" s="57">
        <v>44470</v>
      </c>
      <c r="G192" s="57">
        <v>44475</v>
      </c>
      <c r="H192" s="58"/>
      <c r="I192" s="104">
        <v>7.4634</v>
      </c>
      <c r="J192" s="104">
        <v>0</v>
      </c>
      <c r="K192" s="104">
        <v>7.4634</v>
      </c>
      <c r="L192" s="60">
        <f>+K192-((K192*0.0055*0.125)+(K192*(1-0.0055)*0.26))</f>
        <v>5.5284575745</v>
      </c>
      <c r="M192" s="101">
        <f t="shared" si="5"/>
        <v>5.5284575745</v>
      </c>
      <c r="N192" s="56" t="s">
        <v>248</v>
      </c>
    </row>
    <row r="193" spans="1:14" s="37" customFormat="1" ht="15">
      <c r="A193" s="199"/>
      <c r="B193" s="56" t="s">
        <v>213</v>
      </c>
      <c r="C193" s="216" t="s">
        <v>452</v>
      </c>
      <c r="D193" s="56" t="s">
        <v>410</v>
      </c>
      <c r="E193" s="57">
        <v>44469</v>
      </c>
      <c r="F193" s="57">
        <v>44470</v>
      </c>
      <c r="G193" s="57">
        <v>44475</v>
      </c>
      <c r="H193" s="58"/>
      <c r="I193" s="104">
        <v>6.2241</v>
      </c>
      <c r="J193" s="104">
        <v>0</v>
      </c>
      <c r="K193" s="104">
        <v>6.2241</v>
      </c>
      <c r="L193" s="60">
        <f>+K193-((K193*0.0529*0.125)+(K193*(1-0.0529)*0.26))</f>
        <v>4.65028341015</v>
      </c>
      <c r="M193" s="101">
        <f t="shared" si="5"/>
        <v>4.65028341015</v>
      </c>
      <c r="N193" s="56" t="s">
        <v>248</v>
      </c>
    </row>
    <row r="194" spans="1:14" s="37" customFormat="1" ht="15">
      <c r="A194" s="199"/>
      <c r="B194" s="56" t="s">
        <v>210</v>
      </c>
      <c r="C194" s="216" t="s">
        <v>459</v>
      </c>
      <c r="D194" s="56" t="s">
        <v>410</v>
      </c>
      <c r="E194" s="57">
        <v>44469</v>
      </c>
      <c r="F194" s="57">
        <v>44470</v>
      </c>
      <c r="G194" s="57">
        <v>44475</v>
      </c>
      <c r="H194" s="58"/>
      <c r="I194" s="104">
        <v>8.245</v>
      </c>
      <c r="J194" s="104">
        <v>0</v>
      </c>
      <c r="K194" s="104">
        <v>8.245</v>
      </c>
      <c r="L194" s="60">
        <f>+K194-((K194*0.066*0.125)+(K194*(1-0.066)*0.26))</f>
        <v>6.17476295</v>
      </c>
      <c r="M194" s="101">
        <f t="shared" si="5"/>
        <v>6.17476295</v>
      </c>
      <c r="N194" s="56" t="s">
        <v>248</v>
      </c>
    </row>
    <row r="195" spans="1:254" s="37" customFormat="1" ht="15">
      <c r="A195" s="199"/>
      <c r="B195" s="56" t="s">
        <v>214</v>
      </c>
      <c r="C195" s="216" t="s">
        <v>453</v>
      </c>
      <c r="D195" s="56" t="s">
        <v>410</v>
      </c>
      <c r="E195" s="57">
        <v>44469</v>
      </c>
      <c r="F195" s="57">
        <v>44470</v>
      </c>
      <c r="G195" s="57">
        <v>44475</v>
      </c>
      <c r="H195" s="58"/>
      <c r="I195" s="104">
        <v>10.4453</v>
      </c>
      <c r="J195" s="104">
        <v>0</v>
      </c>
      <c r="K195" s="104">
        <v>10.4453</v>
      </c>
      <c r="L195" s="60">
        <f>+K195-((K195*0.062*0.125)+(K195*(1-0.062)*0.26))</f>
        <v>7.816949160999999</v>
      </c>
      <c r="M195" s="101">
        <f t="shared" si="5"/>
        <v>7.816949160999999</v>
      </c>
      <c r="N195" s="56" t="s">
        <v>248</v>
      </c>
      <c r="IT195" s="250"/>
    </row>
    <row r="196" spans="1:14" s="37" customFormat="1" ht="15">
      <c r="A196" s="199"/>
      <c r="B196" s="56" t="s">
        <v>211</v>
      </c>
      <c r="C196" s="216" t="s">
        <v>460</v>
      </c>
      <c r="D196" s="56" t="s">
        <v>410</v>
      </c>
      <c r="E196" s="57">
        <v>44469</v>
      </c>
      <c r="F196" s="57">
        <v>44470</v>
      </c>
      <c r="G196" s="57">
        <v>44475</v>
      </c>
      <c r="H196" s="58"/>
      <c r="I196" s="104">
        <v>0</v>
      </c>
      <c r="J196" s="104">
        <v>0</v>
      </c>
      <c r="K196" s="104">
        <v>0</v>
      </c>
      <c r="L196" s="60">
        <f>+K196-((K196*0.1125*0.125)+(K196*(1-0.1125)*0.26))</f>
        <v>0</v>
      </c>
      <c r="M196" s="101">
        <f t="shared" si="5"/>
        <v>0</v>
      </c>
      <c r="N196" s="56" t="s">
        <v>248</v>
      </c>
    </row>
    <row r="197" spans="1:255" s="37" customFormat="1" ht="15">
      <c r="A197" s="94"/>
      <c r="B197" s="56" t="s">
        <v>694</v>
      </c>
      <c r="C197" s="216" t="s">
        <v>717</v>
      </c>
      <c r="D197" s="57" t="s">
        <v>410</v>
      </c>
      <c r="E197" s="57">
        <v>44469</v>
      </c>
      <c r="F197" s="57">
        <v>44470</v>
      </c>
      <c r="G197" s="57">
        <v>44475</v>
      </c>
      <c r="H197" s="56"/>
      <c r="I197" s="104">
        <v>5</v>
      </c>
      <c r="J197" s="104">
        <v>0</v>
      </c>
      <c r="K197" s="104">
        <v>5</v>
      </c>
      <c r="L197" s="101">
        <f>+K197-((K197*0.0003*0.125)+(K197*(1-0.0003)*0.26))</f>
        <v>3.7002025</v>
      </c>
      <c r="M197" s="101">
        <f t="shared" si="5"/>
        <v>3.7002025</v>
      </c>
      <c r="N197" s="56" t="s">
        <v>248</v>
      </c>
      <c r="IU197" s="253"/>
    </row>
    <row r="198" spans="1:254" s="37" customFormat="1" ht="15">
      <c r="A198" s="248"/>
      <c r="B198" s="56" t="s">
        <v>225</v>
      </c>
      <c r="C198" s="216" t="s">
        <v>454</v>
      </c>
      <c r="D198" s="56" t="s">
        <v>410</v>
      </c>
      <c r="E198" s="78">
        <v>44494</v>
      </c>
      <c r="F198" s="78">
        <v>44495</v>
      </c>
      <c r="G198" s="78">
        <v>44498</v>
      </c>
      <c r="H198" s="58"/>
      <c r="I198" s="104">
        <v>7.489</v>
      </c>
      <c r="J198" s="104">
        <v>0</v>
      </c>
      <c r="K198" s="104">
        <v>7.489</v>
      </c>
      <c r="L198" s="60">
        <f>+K198-((K198*0.2888*0.125)+(K198*(1-0.2888)*0.26))</f>
        <v>5.833841132</v>
      </c>
      <c r="M198" s="101">
        <v>0</v>
      </c>
      <c r="N198" s="56" t="s">
        <v>249</v>
      </c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2"/>
      <c r="GT198" s="62"/>
      <c r="GU198" s="62"/>
      <c r="GV198" s="62"/>
      <c r="GW198" s="62"/>
      <c r="GX198" s="62"/>
      <c r="GY198" s="62"/>
      <c r="GZ198" s="62"/>
      <c r="HA198" s="62"/>
      <c r="HB198" s="62"/>
      <c r="HC198" s="62"/>
      <c r="HD198" s="62"/>
      <c r="HE198" s="62"/>
      <c r="HF198" s="62"/>
      <c r="HG198" s="62"/>
      <c r="HH198" s="62"/>
      <c r="HI198" s="62"/>
      <c r="HJ198" s="62"/>
      <c r="HK198" s="62"/>
      <c r="HL198" s="62"/>
      <c r="HM198" s="62"/>
      <c r="HN198" s="62"/>
      <c r="HO198" s="62"/>
      <c r="HP198" s="62"/>
      <c r="HQ198" s="62"/>
      <c r="HR198" s="62"/>
      <c r="HS198" s="62"/>
      <c r="HT198" s="62"/>
      <c r="HU198" s="62"/>
      <c r="HV198" s="62"/>
      <c r="HW198" s="62"/>
      <c r="HX198" s="62"/>
      <c r="HY198" s="62"/>
      <c r="HZ198" s="62"/>
      <c r="IA198" s="62"/>
      <c r="IB198" s="62"/>
      <c r="IC198" s="62"/>
      <c r="ID198" s="62"/>
      <c r="IE198" s="62"/>
      <c r="IF198" s="62"/>
      <c r="IG198" s="62"/>
      <c r="IH198" s="62"/>
      <c r="II198" s="62"/>
      <c r="IJ198" s="62"/>
      <c r="IK198" s="62"/>
      <c r="IL198" s="62"/>
      <c r="IM198" s="62"/>
      <c r="IN198" s="62"/>
      <c r="IO198" s="62"/>
      <c r="IP198" s="62"/>
      <c r="IQ198" s="62"/>
      <c r="IR198" s="62"/>
      <c r="IS198" s="62"/>
      <c r="IT198" s="62"/>
    </row>
    <row r="199" spans="1:255" s="37" customFormat="1" ht="15">
      <c r="A199" s="248"/>
      <c r="B199" s="56" t="s">
        <v>219</v>
      </c>
      <c r="C199" s="216" t="s">
        <v>487</v>
      </c>
      <c r="D199" s="56" t="s">
        <v>410</v>
      </c>
      <c r="E199" s="78">
        <v>44494</v>
      </c>
      <c r="F199" s="78">
        <v>44495</v>
      </c>
      <c r="G199" s="78">
        <v>44498</v>
      </c>
      <c r="H199" s="58"/>
      <c r="I199" s="104">
        <v>7.1856</v>
      </c>
      <c r="J199" s="104">
        <v>0</v>
      </c>
      <c r="K199" s="104">
        <v>7.1856</v>
      </c>
      <c r="L199" s="60">
        <f>+K199-((K199*0.0032*0.125)+(K199*(1-0.0032)*0.26))</f>
        <v>5.3204481792</v>
      </c>
      <c r="M199" s="101">
        <v>0</v>
      </c>
      <c r="N199" s="56" t="s">
        <v>249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2"/>
      <c r="GT199" s="62"/>
      <c r="GU199" s="62"/>
      <c r="GV199" s="62"/>
      <c r="GW199" s="62"/>
      <c r="GX199" s="62"/>
      <c r="GY199" s="62"/>
      <c r="GZ199" s="62"/>
      <c r="HA199" s="62"/>
      <c r="HB199" s="62"/>
      <c r="HC199" s="62"/>
      <c r="HD199" s="62"/>
      <c r="HE199" s="62"/>
      <c r="HF199" s="62"/>
      <c r="HG199" s="62"/>
      <c r="HH199" s="62"/>
      <c r="HI199" s="62"/>
      <c r="HJ199" s="62"/>
      <c r="HK199" s="62"/>
      <c r="HL199" s="62"/>
      <c r="HM199" s="62"/>
      <c r="HN199" s="62"/>
      <c r="HO199" s="62"/>
      <c r="HP199" s="62"/>
      <c r="HQ199" s="62"/>
      <c r="HR199" s="62"/>
      <c r="HS199" s="62"/>
      <c r="HT199" s="62"/>
      <c r="HU199" s="62"/>
      <c r="HV199" s="62"/>
      <c r="HW199" s="62"/>
      <c r="HX199" s="62"/>
      <c r="HY199" s="62"/>
      <c r="HZ199" s="62"/>
      <c r="IA199" s="62"/>
      <c r="IB199" s="62"/>
      <c r="IC199" s="62"/>
      <c r="ID199" s="62"/>
      <c r="IE199" s="62"/>
      <c r="IF199" s="62"/>
      <c r="IG199" s="62"/>
      <c r="IH199" s="62"/>
      <c r="II199" s="62"/>
      <c r="IJ199" s="62"/>
      <c r="IK199" s="62"/>
      <c r="IL199" s="62"/>
      <c r="IM199" s="62"/>
      <c r="IN199" s="62"/>
      <c r="IO199" s="62"/>
      <c r="IP199" s="62"/>
      <c r="IQ199" s="62"/>
      <c r="IR199" s="62"/>
      <c r="IS199" s="62"/>
      <c r="IT199" s="62"/>
      <c r="IU199" s="250"/>
    </row>
    <row r="200" spans="1:255" s="37" customFormat="1" ht="15">
      <c r="A200" s="199"/>
      <c r="B200" s="56" t="s">
        <v>221</v>
      </c>
      <c r="C200" s="216" t="s">
        <v>486</v>
      </c>
      <c r="D200" s="56" t="s">
        <v>410</v>
      </c>
      <c r="E200" s="78">
        <v>44494</v>
      </c>
      <c r="F200" s="78">
        <v>44495</v>
      </c>
      <c r="G200" s="78">
        <v>44498</v>
      </c>
      <c r="H200" s="58"/>
      <c r="I200" s="104">
        <v>0</v>
      </c>
      <c r="J200" s="104">
        <v>0</v>
      </c>
      <c r="K200" s="104">
        <v>0</v>
      </c>
      <c r="L200" s="60">
        <f>+K200-((K200*0.0032*0.125)+(K200*(1-0.0032)*0.26))</f>
        <v>0</v>
      </c>
      <c r="M200" s="101">
        <v>0</v>
      </c>
      <c r="N200" s="56" t="s">
        <v>249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203"/>
      <c r="IU200" s="250"/>
    </row>
    <row r="201" spans="1:254" ht="15">
      <c r="A201" s="235"/>
      <c r="B201" s="222" t="s">
        <v>216</v>
      </c>
      <c r="C201" s="223" t="s">
        <v>456</v>
      </c>
      <c r="D201" s="222" t="s">
        <v>410</v>
      </c>
      <c r="E201" s="224">
        <v>44560</v>
      </c>
      <c r="F201" s="224">
        <v>44561</v>
      </c>
      <c r="G201" s="224">
        <v>44566</v>
      </c>
      <c r="H201" s="225"/>
      <c r="I201" s="226"/>
      <c r="J201" s="226"/>
      <c r="K201" s="226"/>
      <c r="L201" s="227">
        <f>+K201-((K201*0.073*0.125)+(K201*(1-0.073)*0.26))</f>
        <v>0</v>
      </c>
      <c r="M201" s="228">
        <f aca="true" t="shared" si="6" ref="M201:M218">L201+J201</f>
        <v>0</v>
      </c>
      <c r="N201" s="222" t="s">
        <v>247</v>
      </c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236"/>
    </row>
    <row r="202" spans="1:255" ht="15">
      <c r="A202" s="79"/>
      <c r="B202" s="222" t="s">
        <v>693</v>
      </c>
      <c r="C202" s="223" t="s">
        <v>716</v>
      </c>
      <c r="D202" s="224" t="s">
        <v>410</v>
      </c>
      <c r="E202" s="224">
        <v>44560</v>
      </c>
      <c r="F202" s="224">
        <v>44561</v>
      </c>
      <c r="G202" s="224">
        <v>44566</v>
      </c>
      <c r="H202" s="226"/>
      <c r="I202" s="226"/>
      <c r="J202" s="226"/>
      <c r="K202" s="227"/>
      <c r="L202" s="228">
        <f>+K202-((K202*0.00000000001*0.125)+(K202*(1-0.0000000001)*0.26))</f>
        <v>0</v>
      </c>
      <c r="M202" s="228">
        <f t="shared" si="6"/>
        <v>0</v>
      </c>
      <c r="N202" s="222" t="s">
        <v>247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51"/>
      <c r="IU202" s="197"/>
    </row>
    <row r="203" spans="1:255" ht="15">
      <c r="A203" s="15"/>
      <c r="B203" s="222" t="s">
        <v>692</v>
      </c>
      <c r="C203" s="223" t="s">
        <v>715</v>
      </c>
      <c r="D203" s="224" t="s">
        <v>410</v>
      </c>
      <c r="E203" s="224">
        <v>44560</v>
      </c>
      <c r="F203" s="224">
        <v>44561</v>
      </c>
      <c r="G203" s="224">
        <v>44566</v>
      </c>
      <c r="H203" s="226"/>
      <c r="I203" s="226"/>
      <c r="J203" s="226"/>
      <c r="K203" s="227"/>
      <c r="L203" s="228">
        <f>+K203-((K203*0.0856*0.125)+(K203*(1-0.0856)*0.26))</f>
        <v>0</v>
      </c>
      <c r="M203" s="228">
        <f t="shared" si="6"/>
        <v>0</v>
      </c>
      <c r="N203" s="222" t="s">
        <v>247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21"/>
      <c r="IU203" s="197"/>
    </row>
    <row r="204" spans="1:14" ht="15">
      <c r="A204" s="15"/>
      <c r="B204" s="222" t="s">
        <v>215</v>
      </c>
      <c r="C204" s="223" t="s">
        <v>457</v>
      </c>
      <c r="D204" s="222" t="s">
        <v>410</v>
      </c>
      <c r="E204" s="229">
        <v>44561</v>
      </c>
      <c r="F204" s="229">
        <v>44564</v>
      </c>
      <c r="G204" s="229">
        <v>44567</v>
      </c>
      <c r="H204" s="225"/>
      <c r="I204" s="226"/>
      <c r="J204" s="226"/>
      <c r="K204" s="226"/>
      <c r="L204" s="227">
        <f>+K204-((K204*0.28008*0.125)+(K204*(1-0.28008)*0.26))</f>
        <v>0</v>
      </c>
      <c r="M204" s="228">
        <f t="shared" si="6"/>
        <v>0</v>
      </c>
      <c r="N204" s="222" t="s">
        <v>248</v>
      </c>
    </row>
    <row r="205" spans="1:254" ht="15">
      <c r="A205" s="15"/>
      <c r="B205" s="222" t="s">
        <v>203</v>
      </c>
      <c r="C205" s="223" t="s">
        <v>445</v>
      </c>
      <c r="D205" s="222" t="s">
        <v>410</v>
      </c>
      <c r="E205" s="229">
        <v>44561</v>
      </c>
      <c r="F205" s="229">
        <v>44564</v>
      </c>
      <c r="G205" s="229">
        <v>44567</v>
      </c>
      <c r="H205" s="230"/>
      <c r="I205" s="222"/>
      <c r="J205" s="222"/>
      <c r="K205" s="222"/>
      <c r="L205" s="227">
        <f>+K205-((K205*0.447*0.125)+(K205*(1-0.447)*0.26))</f>
        <v>0</v>
      </c>
      <c r="M205" s="228">
        <f t="shared" si="6"/>
        <v>0</v>
      </c>
      <c r="N205" s="222" t="s">
        <v>248</v>
      </c>
      <c r="IT205" s="21"/>
    </row>
    <row r="206" spans="1:14" ht="15">
      <c r="A206" s="15"/>
      <c r="B206" s="222" t="s">
        <v>204</v>
      </c>
      <c r="C206" s="223" t="s">
        <v>446</v>
      </c>
      <c r="D206" s="222" t="s">
        <v>410</v>
      </c>
      <c r="E206" s="229">
        <v>44561</v>
      </c>
      <c r="F206" s="229">
        <v>44564</v>
      </c>
      <c r="G206" s="229">
        <v>44567</v>
      </c>
      <c r="H206" s="225"/>
      <c r="I206" s="222"/>
      <c r="J206" s="222"/>
      <c r="K206" s="222"/>
      <c r="L206" s="227">
        <f>+K206-((K206*0.0019*0.125)+(K206*(1-0.0019)*0.26))</f>
        <v>0</v>
      </c>
      <c r="M206" s="228">
        <f t="shared" si="6"/>
        <v>0</v>
      </c>
      <c r="N206" s="222" t="s">
        <v>248</v>
      </c>
    </row>
    <row r="207" spans="1:14" ht="15">
      <c r="A207" s="15"/>
      <c r="B207" s="222" t="s">
        <v>207</v>
      </c>
      <c r="C207" s="223" t="s">
        <v>447</v>
      </c>
      <c r="D207" s="222" t="s">
        <v>410</v>
      </c>
      <c r="E207" s="229">
        <v>44561</v>
      </c>
      <c r="F207" s="229">
        <v>44564</v>
      </c>
      <c r="G207" s="229">
        <v>44567</v>
      </c>
      <c r="H207" s="225"/>
      <c r="I207" s="222"/>
      <c r="J207" s="222"/>
      <c r="K207" s="222"/>
      <c r="L207" s="227">
        <f>+K207-((K207*0.8672*0.125)+(K207*(1-0.8672)*0.26))</f>
        <v>0</v>
      </c>
      <c r="M207" s="228">
        <f t="shared" si="6"/>
        <v>0</v>
      </c>
      <c r="N207" s="222" t="s">
        <v>248</v>
      </c>
    </row>
    <row r="208" spans="1:14" ht="15">
      <c r="A208" s="15"/>
      <c r="B208" s="222" t="s">
        <v>209</v>
      </c>
      <c r="C208" s="223" t="s">
        <v>458</v>
      </c>
      <c r="D208" s="222" t="s">
        <v>410</v>
      </c>
      <c r="E208" s="229">
        <v>44561</v>
      </c>
      <c r="F208" s="229">
        <v>44564</v>
      </c>
      <c r="G208" s="229">
        <v>44567</v>
      </c>
      <c r="H208" s="225"/>
      <c r="I208" s="222"/>
      <c r="J208" s="222"/>
      <c r="K208" s="222"/>
      <c r="L208" s="227">
        <f>+K208-((K208*0.1445*0.125)+(K208*(1-0.1445)*0.26))</f>
        <v>0</v>
      </c>
      <c r="M208" s="228">
        <f t="shared" si="6"/>
        <v>0</v>
      </c>
      <c r="N208" s="222" t="s">
        <v>248</v>
      </c>
    </row>
    <row r="209" spans="1:14" ht="15">
      <c r="A209" s="15"/>
      <c r="B209" s="222" t="s">
        <v>205</v>
      </c>
      <c r="C209" s="223" t="s">
        <v>448</v>
      </c>
      <c r="D209" s="222" t="s">
        <v>410</v>
      </c>
      <c r="E209" s="229">
        <v>44561</v>
      </c>
      <c r="F209" s="229">
        <v>44564</v>
      </c>
      <c r="G209" s="229">
        <v>44567</v>
      </c>
      <c r="H209" s="225"/>
      <c r="I209" s="222"/>
      <c r="J209" s="222"/>
      <c r="K209" s="222"/>
      <c r="L209" s="227">
        <f>+K209-((K209*0.4234*0.125)+(K209*(1-0.4234)*0.26))</f>
        <v>0</v>
      </c>
      <c r="M209" s="228">
        <f t="shared" si="6"/>
        <v>0</v>
      </c>
      <c r="N209" s="222" t="s">
        <v>248</v>
      </c>
    </row>
    <row r="210" spans="1:14" ht="15">
      <c r="A210" s="15"/>
      <c r="B210" s="222" t="s">
        <v>206</v>
      </c>
      <c r="C210" s="223" t="s">
        <v>449</v>
      </c>
      <c r="D210" s="222" t="s">
        <v>410</v>
      </c>
      <c r="E210" s="229">
        <v>44561</v>
      </c>
      <c r="F210" s="229">
        <v>44564</v>
      </c>
      <c r="G210" s="229">
        <v>44567</v>
      </c>
      <c r="H210" s="225"/>
      <c r="I210" s="222"/>
      <c r="J210" s="222"/>
      <c r="K210" s="222"/>
      <c r="L210" s="227">
        <f>+K210-((K210*0.4234*0.125)+(K210*(1-0.4234)*0.26))</f>
        <v>0</v>
      </c>
      <c r="M210" s="228">
        <f t="shared" si="6"/>
        <v>0</v>
      </c>
      <c r="N210" s="222" t="s">
        <v>248</v>
      </c>
    </row>
    <row r="211" spans="1:14" ht="15">
      <c r="A211" s="15"/>
      <c r="B211" s="222" t="s">
        <v>508</v>
      </c>
      <c r="C211" s="223" t="s">
        <v>509</v>
      </c>
      <c r="D211" s="222" t="s">
        <v>410</v>
      </c>
      <c r="E211" s="229">
        <v>44561</v>
      </c>
      <c r="F211" s="229">
        <v>44564</v>
      </c>
      <c r="G211" s="229">
        <v>44567</v>
      </c>
      <c r="H211" s="225"/>
      <c r="I211" s="222"/>
      <c r="J211" s="222"/>
      <c r="K211" s="222"/>
      <c r="L211" s="227">
        <f>+K211-((K211*0.0215*0.125)+(K211*(1-0.0215)*0.26))</f>
        <v>0</v>
      </c>
      <c r="M211" s="228">
        <f t="shared" si="6"/>
        <v>0</v>
      </c>
      <c r="N211" s="222" t="s">
        <v>248</v>
      </c>
    </row>
    <row r="212" spans="1:14" ht="15">
      <c r="A212" s="15"/>
      <c r="B212" s="222" t="s">
        <v>212</v>
      </c>
      <c r="C212" s="223" t="s">
        <v>450</v>
      </c>
      <c r="D212" s="222" t="s">
        <v>410</v>
      </c>
      <c r="E212" s="229">
        <v>44561</v>
      </c>
      <c r="F212" s="229">
        <v>44564</v>
      </c>
      <c r="G212" s="229">
        <v>44567</v>
      </c>
      <c r="H212" s="225"/>
      <c r="I212" s="222"/>
      <c r="J212" s="222"/>
      <c r="K212" s="222"/>
      <c r="L212" s="227">
        <f>+K212-((K212*0.0024*0.125)+(K212*(1-0.0024)*0.26))</f>
        <v>0</v>
      </c>
      <c r="M212" s="228">
        <f t="shared" si="6"/>
        <v>0</v>
      </c>
      <c r="N212" s="222" t="s">
        <v>248</v>
      </c>
    </row>
    <row r="213" spans="1:254" ht="15">
      <c r="A213" s="15"/>
      <c r="B213" s="222" t="s">
        <v>208</v>
      </c>
      <c r="C213" s="223" t="s">
        <v>451</v>
      </c>
      <c r="D213" s="222" t="s">
        <v>410</v>
      </c>
      <c r="E213" s="229">
        <v>44561</v>
      </c>
      <c r="F213" s="229">
        <v>44564</v>
      </c>
      <c r="G213" s="229">
        <v>44567</v>
      </c>
      <c r="H213" s="225"/>
      <c r="I213" s="222"/>
      <c r="J213" s="222"/>
      <c r="K213" s="222"/>
      <c r="L213" s="227">
        <f>+K213-((K213*0.0055*0.125)+(K213*(1-0.0055)*0.26))</f>
        <v>0</v>
      </c>
      <c r="M213" s="228">
        <f t="shared" si="6"/>
        <v>0</v>
      </c>
      <c r="N213" s="222" t="s">
        <v>248</v>
      </c>
      <c r="IT213" s="21"/>
    </row>
    <row r="214" spans="1:254" ht="15">
      <c r="A214" s="15"/>
      <c r="B214" s="222" t="s">
        <v>213</v>
      </c>
      <c r="C214" s="223" t="s">
        <v>452</v>
      </c>
      <c r="D214" s="222" t="s">
        <v>410</v>
      </c>
      <c r="E214" s="229">
        <v>44561</v>
      </c>
      <c r="F214" s="229">
        <v>44564</v>
      </c>
      <c r="G214" s="229">
        <v>44567</v>
      </c>
      <c r="H214" s="225"/>
      <c r="I214" s="222"/>
      <c r="J214" s="222"/>
      <c r="K214" s="222"/>
      <c r="L214" s="227">
        <f>+K214-((K214*0.0529*0.125)+(K214*(1-0.0529)*0.26))</f>
        <v>0</v>
      </c>
      <c r="M214" s="228">
        <f t="shared" si="6"/>
        <v>0</v>
      </c>
      <c r="N214" s="222" t="s">
        <v>248</v>
      </c>
      <c r="IT214" s="21"/>
    </row>
    <row r="215" spans="1:254" ht="15">
      <c r="A215" s="15"/>
      <c r="B215" s="222" t="s">
        <v>210</v>
      </c>
      <c r="C215" s="223" t="s">
        <v>459</v>
      </c>
      <c r="D215" s="222" t="s">
        <v>410</v>
      </c>
      <c r="E215" s="229">
        <v>44561</v>
      </c>
      <c r="F215" s="229">
        <v>44564</v>
      </c>
      <c r="G215" s="229">
        <v>44567</v>
      </c>
      <c r="H215" s="225"/>
      <c r="I215" s="222"/>
      <c r="J215" s="222"/>
      <c r="K215" s="222"/>
      <c r="L215" s="227">
        <f>+K215-((K215*0.066*0.125)+(K215*(1-0.066)*0.26))</f>
        <v>0</v>
      </c>
      <c r="M215" s="228">
        <f t="shared" si="6"/>
        <v>0</v>
      </c>
      <c r="N215" s="222" t="s">
        <v>248</v>
      </c>
      <c r="IT215" s="21"/>
    </row>
    <row r="216" spans="1:254" ht="15">
      <c r="A216" s="15"/>
      <c r="B216" s="222" t="s">
        <v>214</v>
      </c>
      <c r="C216" s="223" t="s">
        <v>453</v>
      </c>
      <c r="D216" s="222" t="s">
        <v>410</v>
      </c>
      <c r="E216" s="229">
        <v>44561</v>
      </c>
      <c r="F216" s="229">
        <v>44564</v>
      </c>
      <c r="G216" s="229">
        <v>44567</v>
      </c>
      <c r="H216" s="225"/>
      <c r="I216" s="222"/>
      <c r="J216" s="222"/>
      <c r="K216" s="222"/>
      <c r="L216" s="227">
        <f>+K216-((K216*0.062*0.125)+(K216*(1-0.062)*0.26))</f>
        <v>0</v>
      </c>
      <c r="M216" s="228">
        <f t="shared" si="6"/>
        <v>0</v>
      </c>
      <c r="N216" s="222" t="s">
        <v>248</v>
      </c>
      <c r="IT216" s="21"/>
    </row>
    <row r="217" spans="1:14" ht="15">
      <c r="A217" s="15"/>
      <c r="B217" s="222" t="s">
        <v>211</v>
      </c>
      <c r="C217" s="223" t="s">
        <v>460</v>
      </c>
      <c r="D217" s="222" t="s">
        <v>410</v>
      </c>
      <c r="E217" s="229">
        <v>44561</v>
      </c>
      <c r="F217" s="229">
        <v>44564</v>
      </c>
      <c r="G217" s="229">
        <v>44567</v>
      </c>
      <c r="H217" s="225"/>
      <c r="I217" s="222"/>
      <c r="J217" s="222"/>
      <c r="K217" s="222"/>
      <c r="L217" s="227">
        <f>+K217-((K217*0.1125*0.125)+(K217*(1-0.1125)*0.26))</f>
        <v>0</v>
      </c>
      <c r="M217" s="228">
        <f t="shared" si="6"/>
        <v>0</v>
      </c>
      <c r="N217" s="222" t="s">
        <v>248</v>
      </c>
    </row>
    <row r="218" spans="1:255" ht="15">
      <c r="A218" s="197"/>
      <c r="B218" s="222" t="s">
        <v>694</v>
      </c>
      <c r="C218" s="223" t="s">
        <v>717</v>
      </c>
      <c r="D218" s="229" t="s">
        <v>410</v>
      </c>
      <c r="E218" s="229">
        <v>44561</v>
      </c>
      <c r="F218" s="229">
        <v>44564</v>
      </c>
      <c r="G218" s="229">
        <v>44567</v>
      </c>
      <c r="H218" s="222"/>
      <c r="I218" s="222"/>
      <c r="J218" s="222"/>
      <c r="K218" s="227"/>
      <c r="L218" s="228">
        <f>+K218-((K218*0.0003*0.125)+(K218*(1-0.0003)*0.26))</f>
        <v>0</v>
      </c>
      <c r="M218" s="228">
        <f t="shared" si="6"/>
        <v>0</v>
      </c>
      <c r="N218" s="222" t="s">
        <v>248</v>
      </c>
      <c r="IU218" s="197"/>
    </row>
    <row r="219" spans="1:254" ht="15">
      <c r="A219" s="15"/>
      <c r="B219" s="222" t="s">
        <v>225</v>
      </c>
      <c r="C219" s="223" t="s">
        <v>454</v>
      </c>
      <c r="D219" s="222" t="s">
        <v>410</v>
      </c>
      <c r="E219" s="224">
        <v>44586</v>
      </c>
      <c r="F219" s="224">
        <v>44587</v>
      </c>
      <c r="G219" s="224">
        <v>44592</v>
      </c>
      <c r="H219" s="225"/>
      <c r="I219" s="226"/>
      <c r="J219" s="226"/>
      <c r="K219" s="226"/>
      <c r="L219" s="227">
        <f>+K219-((K219*0.2888*0.125)+(K219*(1-0.2888)*0.26))</f>
        <v>0</v>
      </c>
      <c r="M219" s="228">
        <v>0</v>
      </c>
      <c r="N219" s="222" t="s">
        <v>249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</row>
    <row r="220" spans="1:254" ht="15">
      <c r="A220" s="15"/>
      <c r="B220" s="222" t="s">
        <v>223</v>
      </c>
      <c r="C220" s="223" t="s">
        <v>490</v>
      </c>
      <c r="D220" s="222" t="s">
        <v>413</v>
      </c>
      <c r="E220" s="224">
        <v>44586</v>
      </c>
      <c r="F220" s="224">
        <v>44587</v>
      </c>
      <c r="G220" s="224">
        <v>44592</v>
      </c>
      <c r="H220" s="225"/>
      <c r="I220" s="226"/>
      <c r="J220" s="226"/>
      <c r="K220" s="226"/>
      <c r="L220" s="227">
        <f>+K220-((K220*0.000000000001*0.125)+(K220*(1-0.000000000001)*0.26))</f>
        <v>0</v>
      </c>
      <c r="M220" s="228">
        <v>0</v>
      </c>
      <c r="N220" s="222" t="s">
        <v>250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</row>
    <row r="221" spans="1:254" ht="15">
      <c r="A221" s="15"/>
      <c r="B221" s="222" t="s">
        <v>219</v>
      </c>
      <c r="C221" s="223" t="s">
        <v>487</v>
      </c>
      <c r="D221" s="222" t="s">
        <v>410</v>
      </c>
      <c r="E221" s="224">
        <v>44586</v>
      </c>
      <c r="F221" s="224">
        <v>44587</v>
      </c>
      <c r="G221" s="224">
        <v>44592</v>
      </c>
      <c r="H221" s="225"/>
      <c r="I221" s="226"/>
      <c r="J221" s="226"/>
      <c r="K221" s="226"/>
      <c r="L221" s="227">
        <f>+K221-((K221*0.0032*0.125)+(K221*(1-0.0032)*0.26))</f>
        <v>0</v>
      </c>
      <c r="M221" s="228">
        <v>0</v>
      </c>
      <c r="N221" s="222" t="s">
        <v>249</v>
      </c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22"/>
    </row>
    <row r="222" spans="1:254" ht="15">
      <c r="A222" s="15"/>
      <c r="B222" s="222" t="s">
        <v>221</v>
      </c>
      <c r="C222" s="223" t="s">
        <v>486</v>
      </c>
      <c r="D222" s="222" t="s">
        <v>410</v>
      </c>
      <c r="E222" s="224">
        <v>44586</v>
      </c>
      <c r="F222" s="224">
        <v>44587</v>
      </c>
      <c r="G222" s="224">
        <v>44592</v>
      </c>
      <c r="H222" s="225"/>
      <c r="I222" s="226"/>
      <c r="J222" s="226"/>
      <c r="K222" s="226"/>
      <c r="L222" s="227">
        <f>+K222-((K222*0.0032*0.125)+(K222*(1-0.0032)*0.26))</f>
        <v>0</v>
      </c>
      <c r="M222" s="228">
        <v>0</v>
      </c>
      <c r="N222" s="222" t="s">
        <v>249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22"/>
    </row>
    <row r="223" spans="1:254" ht="15">
      <c r="A223" s="15"/>
      <c r="B223" s="222" t="s">
        <v>488</v>
      </c>
      <c r="C223" s="223" t="s">
        <v>489</v>
      </c>
      <c r="D223" s="224" t="s">
        <v>413</v>
      </c>
      <c r="E223" s="224">
        <v>44586</v>
      </c>
      <c r="F223" s="224">
        <v>44587</v>
      </c>
      <c r="G223" s="224">
        <v>44592</v>
      </c>
      <c r="H223" s="226"/>
      <c r="I223" s="226"/>
      <c r="J223" s="226"/>
      <c r="K223" s="227"/>
      <c r="L223" s="227">
        <f>+K223-((K223*0.0032*0.125)+(K223*(1-0.0032)*0.26))</f>
        <v>0</v>
      </c>
      <c r="M223" s="228">
        <v>0</v>
      </c>
      <c r="N223" s="222" t="s">
        <v>250</v>
      </c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50"/>
    </row>
    <row r="224" spans="1:254" ht="15">
      <c r="A224" s="15"/>
      <c r="B224" s="222" t="s">
        <v>491</v>
      </c>
      <c r="C224" s="223" t="s">
        <v>525</v>
      </c>
      <c r="D224" s="224" t="s">
        <v>413</v>
      </c>
      <c r="E224" s="224">
        <v>44586</v>
      </c>
      <c r="F224" s="224">
        <v>44587</v>
      </c>
      <c r="G224" s="224">
        <v>44592</v>
      </c>
      <c r="H224" s="226"/>
      <c r="I224" s="226"/>
      <c r="J224" s="226"/>
      <c r="K224" s="227"/>
      <c r="L224" s="227">
        <f>+K224-((K224*0.2441*0.125)+(K224*(1-0.2441)*0.26))</f>
        <v>0</v>
      </c>
      <c r="M224" s="228">
        <v>0</v>
      </c>
      <c r="N224" s="222" t="s">
        <v>250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50"/>
    </row>
    <row r="225" spans="1:254" ht="15">
      <c r="A225" s="15"/>
      <c r="B225" s="222" t="s">
        <v>218</v>
      </c>
      <c r="C225" s="223" t="s">
        <v>455</v>
      </c>
      <c r="D225" s="222" t="s">
        <v>413</v>
      </c>
      <c r="E225" s="224">
        <v>44586</v>
      </c>
      <c r="F225" s="224">
        <v>44587</v>
      </c>
      <c r="G225" s="224">
        <v>44592</v>
      </c>
      <c r="H225" s="225"/>
      <c r="I225" s="226"/>
      <c r="J225" s="226"/>
      <c r="K225" s="226"/>
      <c r="L225" s="227">
        <f>+K225-((K225*0.2441*0.125)+(K225*(1-0.2441)*0.26))</f>
        <v>0</v>
      </c>
      <c r="M225" s="228">
        <v>0</v>
      </c>
      <c r="N225" s="222" t="s">
        <v>250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</row>
    <row r="226" spans="1:255" ht="15">
      <c r="A226" s="15"/>
      <c r="B226" s="231" t="s">
        <v>494</v>
      </c>
      <c r="C226" s="232" t="s">
        <v>496</v>
      </c>
      <c r="D226" s="231" t="s">
        <v>412</v>
      </c>
      <c r="E226" s="224">
        <v>44586</v>
      </c>
      <c r="F226" s="224">
        <v>44587</v>
      </c>
      <c r="G226" s="224">
        <v>44592</v>
      </c>
      <c r="H226" s="233"/>
      <c r="I226" s="231"/>
      <c r="J226" s="231"/>
      <c r="K226" s="231"/>
      <c r="L226" s="227">
        <f>+K226-((K226*0.1276*0.125)+(K226*(1-0.1276)*0.26))</f>
        <v>0</v>
      </c>
      <c r="M226" s="228">
        <f>L226+J226</f>
        <v>0</v>
      </c>
      <c r="N226" s="234" t="s">
        <v>497</v>
      </c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  <c r="GR226" s="103"/>
      <c r="GS226" s="103"/>
      <c r="GT226" s="103"/>
      <c r="GU226" s="103"/>
      <c r="GV226" s="103"/>
      <c r="GW226" s="103"/>
      <c r="GX226" s="103"/>
      <c r="GY226" s="103"/>
      <c r="GZ226" s="103"/>
      <c r="HA226" s="103"/>
      <c r="HB226" s="103"/>
      <c r="HC226" s="103"/>
      <c r="HD226" s="103"/>
      <c r="HE226" s="103"/>
      <c r="HF226" s="103"/>
      <c r="HG226" s="103"/>
      <c r="HH226" s="103"/>
      <c r="HI226" s="103"/>
      <c r="HJ226" s="103"/>
      <c r="HK226" s="103"/>
      <c r="HL226" s="103"/>
      <c r="HM226" s="103"/>
      <c r="HN226" s="103"/>
      <c r="HO226" s="103"/>
      <c r="HP226" s="103"/>
      <c r="HQ226" s="103"/>
      <c r="HR226" s="103"/>
      <c r="HS226" s="103"/>
      <c r="HT226" s="103"/>
      <c r="HU226" s="103"/>
      <c r="HV226" s="103"/>
      <c r="HW226" s="103"/>
      <c r="HX226" s="103"/>
      <c r="HY226" s="103"/>
      <c r="HZ226" s="103"/>
      <c r="IA226" s="103"/>
      <c r="IB226" s="103"/>
      <c r="IC226" s="103"/>
      <c r="ID226" s="103"/>
      <c r="IE226" s="103"/>
      <c r="IF226" s="103"/>
      <c r="IG226" s="103"/>
      <c r="IH226" s="103"/>
      <c r="II226" s="103"/>
      <c r="IJ226" s="103"/>
      <c r="IK226" s="103"/>
      <c r="IL226" s="103"/>
      <c r="IM226" s="103"/>
      <c r="IN226" s="103"/>
      <c r="IO226" s="103"/>
      <c r="IP226" s="103"/>
      <c r="IQ226" s="103"/>
      <c r="IR226" s="103"/>
      <c r="IS226" s="103"/>
      <c r="IT226" s="103"/>
      <c r="IU226" s="151"/>
    </row>
    <row r="227" spans="1:255" ht="15">
      <c r="A227" s="15"/>
      <c r="B227" s="222" t="s">
        <v>556</v>
      </c>
      <c r="C227" s="223" t="s">
        <v>557</v>
      </c>
      <c r="D227" s="222" t="s">
        <v>412</v>
      </c>
      <c r="E227" s="224" t="s">
        <v>570</v>
      </c>
      <c r="F227" s="224"/>
      <c r="G227" s="224"/>
      <c r="H227" s="225"/>
      <c r="I227" s="222"/>
      <c r="J227" s="226"/>
      <c r="K227" s="222"/>
      <c r="L227" s="227">
        <f>+K227-((K227*0.0838*0.125)+(K227*(1-0.0838)*0.26))</f>
        <v>0</v>
      </c>
      <c r="M227" s="228">
        <f>L227+J227</f>
        <v>0</v>
      </c>
      <c r="N227" s="226" t="s">
        <v>288</v>
      </c>
      <c r="IT227" s="21"/>
      <c r="IU227" s="151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  <row r="252" ht="15">
      <c r="A252" s="15"/>
    </row>
    <row r="253" ht="15">
      <c r="A253" s="15"/>
    </row>
    <row r="254" ht="15">
      <c r="A254" s="15"/>
    </row>
    <row r="255" ht="15">
      <c r="A255" s="15"/>
    </row>
    <row r="256" ht="15">
      <c r="A256" s="15"/>
    </row>
    <row r="257" ht="15">
      <c r="A257" s="15"/>
    </row>
    <row r="258" ht="15">
      <c r="A258" s="15"/>
    </row>
    <row r="259" ht="15">
      <c r="A259" s="15"/>
    </row>
    <row r="260" ht="15">
      <c r="A260" s="15"/>
    </row>
    <row r="261" ht="15">
      <c r="A261" s="15"/>
    </row>
    <row r="262" ht="15">
      <c r="A262" s="15"/>
    </row>
    <row r="263" ht="15">
      <c r="A263" s="15"/>
    </row>
    <row r="264" ht="15">
      <c r="A264" s="15"/>
    </row>
    <row r="265" ht="15">
      <c r="A265" s="15"/>
    </row>
    <row r="266" ht="15">
      <c r="A266" s="15"/>
    </row>
    <row r="267" ht="15">
      <c r="A267" s="15"/>
    </row>
    <row r="268" ht="15">
      <c r="A268" s="15"/>
    </row>
    <row r="269" ht="15">
      <c r="A269" s="15"/>
    </row>
    <row r="270" ht="15">
      <c r="A270" s="15"/>
    </row>
    <row r="271" ht="15">
      <c r="A271" s="15"/>
    </row>
    <row r="272" ht="15">
      <c r="A272" s="15"/>
    </row>
    <row r="273" ht="15">
      <c r="A273" s="15"/>
    </row>
    <row r="274" ht="15">
      <c r="A274" s="15"/>
    </row>
    <row r="275" ht="15">
      <c r="A275" s="15"/>
    </row>
    <row r="276" ht="15">
      <c r="A276" s="15"/>
    </row>
    <row r="277" ht="15">
      <c r="A277" s="15"/>
    </row>
    <row r="278" ht="15">
      <c r="A278" s="15"/>
    </row>
    <row r="279" ht="15">
      <c r="A279" s="15"/>
    </row>
    <row r="280" ht="15">
      <c r="A280" s="15"/>
    </row>
    <row r="281" ht="15">
      <c r="A281" s="16"/>
    </row>
    <row r="282" ht="15">
      <c r="A282" s="16"/>
    </row>
    <row r="283" ht="15">
      <c r="A283" s="16"/>
    </row>
    <row r="284" ht="15">
      <c r="A284" s="16"/>
    </row>
    <row r="285" ht="15">
      <c r="A285" s="16"/>
    </row>
    <row r="286" ht="15">
      <c r="A286" s="16"/>
    </row>
    <row r="287" ht="15">
      <c r="A287" s="16"/>
    </row>
    <row r="288" ht="15">
      <c r="A288" s="16"/>
    </row>
    <row r="289" ht="15">
      <c r="A289" s="16"/>
    </row>
    <row r="290" ht="15">
      <c r="A290" s="22"/>
    </row>
    <row r="291" ht="15">
      <c r="A291" s="22"/>
    </row>
    <row r="292" ht="15">
      <c r="A292" s="17"/>
    </row>
    <row r="293" ht="15">
      <c r="A293" s="22"/>
    </row>
    <row r="294" ht="15">
      <c r="A294" s="22"/>
    </row>
    <row r="295" ht="15">
      <c r="A295" s="16"/>
    </row>
    <row r="296" ht="15">
      <c r="A296" s="16"/>
    </row>
    <row r="297" ht="15">
      <c r="A297" s="16"/>
    </row>
    <row r="298" ht="15">
      <c r="A298" s="16"/>
    </row>
    <row r="299" ht="15">
      <c r="A299" s="16"/>
    </row>
    <row r="300" ht="15">
      <c r="A300" s="16"/>
    </row>
    <row r="301" ht="15">
      <c r="A301" s="16"/>
    </row>
    <row r="302" ht="15">
      <c r="A302" s="16"/>
    </row>
    <row r="303" ht="15">
      <c r="A303" s="16"/>
    </row>
    <row r="304" ht="15">
      <c r="A304" s="16"/>
    </row>
    <row r="305" ht="15">
      <c r="A305" s="16"/>
    </row>
    <row r="306" ht="15">
      <c r="A306" s="16"/>
    </row>
    <row r="307" ht="15">
      <c r="A307" s="16"/>
    </row>
    <row r="308" ht="15">
      <c r="A308" s="16"/>
    </row>
    <row r="309" ht="15">
      <c r="A309" s="16"/>
    </row>
    <row r="310" ht="15">
      <c r="A310" s="16"/>
    </row>
    <row r="311" ht="15">
      <c r="A311" s="16"/>
    </row>
    <row r="312" ht="15">
      <c r="A312" s="16"/>
    </row>
    <row r="313" ht="15">
      <c r="A313" s="16"/>
    </row>
    <row r="314" ht="15">
      <c r="A314" s="16"/>
    </row>
    <row r="315" ht="15">
      <c r="A315" s="16"/>
    </row>
    <row r="316" ht="15">
      <c r="A316" s="16"/>
    </row>
    <row r="317" ht="15">
      <c r="A317" s="16"/>
    </row>
    <row r="318" ht="15">
      <c r="A318" s="16"/>
    </row>
    <row r="319" ht="15">
      <c r="A319" s="16"/>
    </row>
    <row r="320" ht="15">
      <c r="A320" s="16"/>
    </row>
    <row r="321" ht="15">
      <c r="A321" s="16"/>
    </row>
    <row r="322" ht="15">
      <c r="A322" s="16"/>
    </row>
    <row r="323" ht="15">
      <c r="A323" s="16"/>
    </row>
    <row r="324" ht="15">
      <c r="A324" s="16"/>
    </row>
    <row r="325" ht="15">
      <c r="A325" s="16"/>
    </row>
    <row r="326" ht="15">
      <c r="A326" s="16"/>
    </row>
    <row r="327" ht="15">
      <c r="A327" s="16"/>
    </row>
    <row r="328" ht="15">
      <c r="A328" s="16"/>
    </row>
    <row r="329" ht="15">
      <c r="A329" s="16"/>
    </row>
    <row r="330" ht="15">
      <c r="A330" s="16"/>
    </row>
    <row r="331" ht="15">
      <c r="A331" s="16"/>
    </row>
    <row r="332" ht="15">
      <c r="A332" s="16"/>
    </row>
    <row r="333" ht="15">
      <c r="A333" s="16"/>
    </row>
    <row r="334" ht="15">
      <c r="A334" s="16"/>
    </row>
    <row r="335" ht="15">
      <c r="A335" s="16"/>
    </row>
    <row r="336" ht="15">
      <c r="A336" s="16"/>
    </row>
    <row r="337" ht="15">
      <c r="A337" s="16"/>
    </row>
    <row r="338" ht="15">
      <c r="A338" s="16"/>
    </row>
    <row r="339" ht="15">
      <c r="A339" s="15"/>
    </row>
    <row r="340" ht="15">
      <c r="A340" s="15"/>
    </row>
    <row r="341" ht="15">
      <c r="A341" s="15"/>
    </row>
    <row r="342" ht="15">
      <c r="A342" s="15"/>
    </row>
    <row r="343" ht="15">
      <c r="A343" s="15"/>
    </row>
    <row r="344" ht="15">
      <c r="A344" s="15"/>
    </row>
    <row r="345" ht="15">
      <c r="A345" s="15"/>
    </row>
    <row r="346" ht="15">
      <c r="A346" s="15"/>
    </row>
    <row r="347" ht="15">
      <c r="A347" s="15"/>
    </row>
    <row r="348" ht="15">
      <c r="A348" s="15"/>
    </row>
    <row r="349" ht="15">
      <c r="A349" s="15"/>
    </row>
    <row r="350" ht="15">
      <c r="A350" s="15"/>
    </row>
    <row r="351" ht="15">
      <c r="A351" s="15"/>
    </row>
    <row r="352" ht="15">
      <c r="A352" s="15"/>
    </row>
    <row r="353" ht="15">
      <c r="A353" s="15"/>
    </row>
    <row r="354" ht="15">
      <c r="A354" s="15"/>
    </row>
    <row r="355" ht="15">
      <c r="A355" s="15"/>
    </row>
    <row r="356" ht="15">
      <c r="A356" s="15"/>
    </row>
    <row r="357" ht="15">
      <c r="A357" s="15"/>
    </row>
    <row r="358" ht="15">
      <c r="A358" s="15"/>
    </row>
    <row r="359" ht="15">
      <c r="A359" s="15"/>
    </row>
    <row r="360" ht="15">
      <c r="A360" s="15"/>
    </row>
    <row r="361" ht="15">
      <c r="A361" s="15"/>
    </row>
    <row r="362" ht="15">
      <c r="A362" s="15"/>
    </row>
    <row r="363" ht="15">
      <c r="A363" s="15"/>
    </row>
    <row r="364" ht="15">
      <c r="A364" s="15"/>
    </row>
    <row r="365" ht="15">
      <c r="A365" s="15"/>
    </row>
    <row r="366" ht="15">
      <c r="A366" s="15"/>
    </row>
    <row r="367" ht="15">
      <c r="A367" s="15"/>
    </row>
    <row r="368" ht="15">
      <c r="A368" s="15"/>
    </row>
    <row r="369" ht="15">
      <c r="A369" s="15"/>
    </row>
    <row r="370" ht="15">
      <c r="A370" s="11"/>
    </row>
    <row r="371" ht="15">
      <c r="A371" s="11"/>
    </row>
    <row r="372" ht="15">
      <c r="A372" s="11"/>
    </row>
    <row r="373" ht="15">
      <c r="A373" s="11"/>
    </row>
    <row r="374" ht="15">
      <c r="A374" s="11"/>
    </row>
    <row r="375" ht="15">
      <c r="A375" s="11"/>
    </row>
    <row r="376" ht="15">
      <c r="A376" s="11"/>
    </row>
    <row r="377" ht="15">
      <c r="A377" s="11"/>
    </row>
    <row r="378" ht="15">
      <c r="A378" s="11"/>
    </row>
    <row r="379" ht="15">
      <c r="A379" s="11"/>
    </row>
    <row r="380" ht="15">
      <c r="A380" s="11"/>
    </row>
    <row r="381" ht="15">
      <c r="A381" s="11"/>
    </row>
    <row r="382" ht="15">
      <c r="A382" s="11"/>
    </row>
    <row r="383" ht="15">
      <c r="A383" s="11"/>
    </row>
    <row r="384" ht="15">
      <c r="A384" s="11"/>
    </row>
    <row r="385" ht="15">
      <c r="A385" s="18"/>
    </row>
    <row r="386" ht="15">
      <c r="A386" s="18"/>
    </row>
    <row r="387" ht="15">
      <c r="A387" s="18"/>
    </row>
    <row r="388" ht="15">
      <c r="A388" s="18"/>
    </row>
    <row r="389" ht="15">
      <c r="A389" s="18"/>
    </row>
    <row r="390" ht="15">
      <c r="A390" s="18"/>
    </row>
    <row r="391" ht="15">
      <c r="A391" s="18"/>
    </row>
    <row r="392" ht="15">
      <c r="A392" s="18"/>
    </row>
    <row r="393" ht="15">
      <c r="A393" s="18"/>
    </row>
    <row r="394" ht="15">
      <c r="A394" s="18"/>
    </row>
    <row r="395" ht="15">
      <c r="A395" s="18"/>
    </row>
    <row r="396" ht="15">
      <c r="A396" s="11"/>
    </row>
    <row r="397" ht="15">
      <c r="A397" s="11"/>
    </row>
    <row r="398" ht="15">
      <c r="A398" s="11"/>
    </row>
    <row r="399" ht="15">
      <c r="A399" s="11"/>
    </row>
    <row r="400" ht="15">
      <c r="A400" s="11"/>
    </row>
    <row r="401" ht="15">
      <c r="A401" s="11"/>
    </row>
    <row r="402" ht="15">
      <c r="A402" s="11"/>
    </row>
    <row r="403" ht="15">
      <c r="A403" s="11"/>
    </row>
    <row r="404" ht="15">
      <c r="A404" s="11"/>
    </row>
    <row r="405" ht="15">
      <c r="A405" s="11"/>
    </row>
    <row r="406" ht="15">
      <c r="A406" s="11"/>
    </row>
    <row r="407" ht="15">
      <c r="A407" s="11"/>
    </row>
    <row r="408" ht="15">
      <c r="A408" s="11"/>
    </row>
    <row r="409" ht="15">
      <c r="A409" s="11"/>
    </row>
    <row r="410" ht="15">
      <c r="A410" s="11"/>
    </row>
    <row r="411" ht="15">
      <c r="A411" s="11"/>
    </row>
    <row r="412" ht="15">
      <c r="A412" s="11"/>
    </row>
    <row r="413" ht="15">
      <c r="A413" s="11"/>
    </row>
    <row r="414" ht="15">
      <c r="A414" s="11"/>
    </row>
    <row r="415" ht="15">
      <c r="A415" s="11"/>
    </row>
    <row r="419" ht="15">
      <c r="A419" s="21"/>
    </row>
    <row r="420" ht="15">
      <c r="A420" s="258"/>
    </row>
    <row r="421" ht="15">
      <c r="A421" s="258"/>
    </row>
    <row r="422" ht="15">
      <c r="A422" s="15"/>
    </row>
    <row r="423" ht="15">
      <c r="A423" s="15"/>
    </row>
    <row r="424" ht="15">
      <c r="A424" s="15"/>
    </row>
    <row r="425" ht="15">
      <c r="A425" s="15"/>
    </row>
    <row r="426" ht="15">
      <c r="A426" s="15"/>
    </row>
    <row r="427" ht="15">
      <c r="A427" s="15"/>
    </row>
    <row r="428" ht="15">
      <c r="A428" s="15"/>
    </row>
    <row r="429" ht="15">
      <c r="A429" s="15"/>
    </row>
    <row r="430" ht="15">
      <c r="A430" s="15"/>
    </row>
    <row r="431" ht="15">
      <c r="A431" s="15"/>
    </row>
    <row r="432" ht="15">
      <c r="A432" s="15"/>
    </row>
    <row r="433" ht="15">
      <c r="A433" s="15"/>
    </row>
    <row r="434" ht="15">
      <c r="A434" s="15"/>
    </row>
    <row r="435" ht="15">
      <c r="A435" s="15"/>
    </row>
    <row r="436" ht="15">
      <c r="A436" s="15"/>
    </row>
    <row r="437" ht="15">
      <c r="A437" s="15"/>
    </row>
    <row r="438" ht="15">
      <c r="A438" s="15"/>
    </row>
    <row r="439" ht="15">
      <c r="A439" s="15"/>
    </row>
    <row r="440" ht="15">
      <c r="A440" s="15"/>
    </row>
    <row r="441" ht="15">
      <c r="A441" s="15"/>
    </row>
    <row r="442" ht="15">
      <c r="A442" s="15"/>
    </row>
    <row r="443" ht="15">
      <c r="A443" s="15"/>
    </row>
    <row r="444" ht="15">
      <c r="A444" s="15"/>
    </row>
    <row r="445" ht="15">
      <c r="A445" s="15"/>
    </row>
    <row r="446" ht="15">
      <c r="A446" s="15"/>
    </row>
    <row r="447" ht="15">
      <c r="A447" s="15"/>
    </row>
    <row r="448" ht="15">
      <c r="A448" s="15"/>
    </row>
    <row r="449" ht="15">
      <c r="A449" s="15"/>
    </row>
    <row r="450" ht="15">
      <c r="A450" s="15"/>
    </row>
    <row r="451" ht="15">
      <c r="A451" s="15"/>
    </row>
    <row r="452" ht="15">
      <c r="A452" s="15"/>
    </row>
    <row r="453" ht="15">
      <c r="A453" s="15"/>
    </row>
    <row r="454" ht="15">
      <c r="A454" s="15"/>
    </row>
    <row r="455" ht="15">
      <c r="A455" s="15"/>
    </row>
    <row r="456" ht="15">
      <c r="A456" s="15"/>
    </row>
    <row r="457" ht="15">
      <c r="A457" s="15"/>
    </row>
    <row r="458" ht="15">
      <c r="A458" s="15"/>
    </row>
    <row r="459" ht="15">
      <c r="A459" s="15"/>
    </row>
    <row r="460" ht="15">
      <c r="A460" s="15"/>
    </row>
    <row r="461" ht="15">
      <c r="A461" s="15"/>
    </row>
    <row r="462" ht="15">
      <c r="A462" s="15"/>
    </row>
    <row r="463" ht="15">
      <c r="A463" s="15"/>
    </row>
    <row r="464" ht="15">
      <c r="A464" s="15"/>
    </row>
    <row r="465" ht="15">
      <c r="A465" s="15"/>
    </row>
    <row r="466" ht="15">
      <c r="A466" s="15"/>
    </row>
    <row r="467" ht="15">
      <c r="A467" s="15"/>
    </row>
    <row r="468" ht="15">
      <c r="A468" s="15"/>
    </row>
    <row r="469" ht="15">
      <c r="A469" s="15"/>
    </row>
    <row r="470" ht="15">
      <c r="A470" s="15"/>
    </row>
    <row r="471" ht="15">
      <c r="A471" s="15"/>
    </row>
    <row r="472" ht="15">
      <c r="A472" s="15"/>
    </row>
    <row r="473" ht="15">
      <c r="A473" s="15"/>
    </row>
    <row r="474" ht="15">
      <c r="A474" s="15"/>
    </row>
    <row r="475" ht="15">
      <c r="A475" s="15"/>
    </row>
    <row r="476" ht="15">
      <c r="A476" s="15"/>
    </row>
    <row r="477" ht="15">
      <c r="A477" s="15"/>
    </row>
    <row r="478" ht="15">
      <c r="A478" s="15"/>
    </row>
    <row r="479" ht="15">
      <c r="A479" s="15"/>
    </row>
    <row r="480" ht="15">
      <c r="A480" s="15"/>
    </row>
    <row r="481" ht="15">
      <c r="A481" s="15"/>
    </row>
    <row r="482" ht="15">
      <c r="A482" s="15"/>
    </row>
    <row r="483" ht="15">
      <c r="A483" s="15"/>
    </row>
    <row r="484" ht="15">
      <c r="A484" s="15"/>
    </row>
    <row r="485" ht="15">
      <c r="A485" s="15"/>
    </row>
    <row r="486" ht="15">
      <c r="A486" s="15"/>
    </row>
    <row r="487" ht="15">
      <c r="A487" s="15"/>
    </row>
    <row r="488" ht="15">
      <c r="A488" s="15"/>
    </row>
    <row r="489" ht="15">
      <c r="A489" s="15"/>
    </row>
    <row r="490" ht="15">
      <c r="A490" s="15"/>
    </row>
    <row r="491" ht="15">
      <c r="A491" s="15"/>
    </row>
    <row r="492" ht="15">
      <c r="A492" s="15"/>
    </row>
    <row r="493" ht="15">
      <c r="A493" s="15"/>
    </row>
    <row r="494" ht="15">
      <c r="A494" s="15"/>
    </row>
    <row r="495" ht="15">
      <c r="A495" s="15"/>
    </row>
    <row r="496" ht="15">
      <c r="A496" s="15"/>
    </row>
    <row r="497" ht="15">
      <c r="A497" s="15"/>
    </row>
    <row r="498" ht="15">
      <c r="A498" s="15"/>
    </row>
    <row r="499" ht="15">
      <c r="A499" s="15"/>
    </row>
    <row r="500" ht="15">
      <c r="A500" s="15"/>
    </row>
    <row r="501" ht="15">
      <c r="A501" s="15"/>
    </row>
    <row r="502" ht="15">
      <c r="A502" s="15"/>
    </row>
    <row r="503" ht="15">
      <c r="A503" s="15"/>
    </row>
    <row r="504" ht="15">
      <c r="A504" s="15"/>
    </row>
    <row r="505" ht="15">
      <c r="A505" s="15"/>
    </row>
    <row r="506" ht="15">
      <c r="A506" s="15"/>
    </row>
    <row r="507" ht="15">
      <c r="A507" s="15"/>
    </row>
    <row r="508" ht="15">
      <c r="A508" s="15"/>
    </row>
    <row r="509" ht="15">
      <c r="A509" s="15"/>
    </row>
    <row r="510" ht="15">
      <c r="A510" s="15"/>
    </row>
    <row r="511" ht="15">
      <c r="A511" s="15"/>
    </row>
    <row r="512" ht="15">
      <c r="A512" s="15"/>
    </row>
    <row r="513" ht="15">
      <c r="A513" s="15"/>
    </row>
    <row r="514" ht="15">
      <c r="A514" s="15"/>
    </row>
    <row r="515" ht="15">
      <c r="A515" s="15"/>
    </row>
    <row r="516" ht="15">
      <c r="A516" s="15"/>
    </row>
    <row r="517" ht="15">
      <c r="A517" s="15"/>
    </row>
    <row r="518" ht="15">
      <c r="A518" s="15"/>
    </row>
    <row r="519" ht="15">
      <c r="A519" s="15"/>
    </row>
    <row r="520" ht="15">
      <c r="A520" s="15"/>
    </row>
    <row r="521" ht="15">
      <c r="A521" s="15"/>
    </row>
    <row r="522" ht="15">
      <c r="A522" s="15"/>
    </row>
    <row r="523" ht="15">
      <c r="A523" s="15"/>
    </row>
    <row r="524" ht="15">
      <c r="A524" s="15"/>
    </row>
    <row r="525" ht="15">
      <c r="A525" s="15"/>
    </row>
    <row r="526" ht="15">
      <c r="A526" s="15"/>
    </row>
    <row r="527" ht="15">
      <c r="A527" s="15"/>
    </row>
    <row r="528" ht="15">
      <c r="A528" s="15"/>
    </row>
    <row r="529" ht="15">
      <c r="A529" s="15"/>
    </row>
    <row r="530" ht="15">
      <c r="A530" s="15"/>
    </row>
    <row r="531" ht="15">
      <c r="A531" s="15"/>
    </row>
    <row r="532" ht="15">
      <c r="A532" s="15"/>
    </row>
    <row r="533" ht="15">
      <c r="A533" s="15"/>
    </row>
    <row r="534" ht="15">
      <c r="A534" s="15"/>
    </row>
    <row r="535" ht="15">
      <c r="A535" s="15"/>
    </row>
    <row r="536" ht="15">
      <c r="A536" s="15"/>
    </row>
    <row r="537" ht="15">
      <c r="A537" s="15"/>
    </row>
    <row r="538" ht="15">
      <c r="A538" s="15"/>
    </row>
    <row r="539" ht="15">
      <c r="A539" s="15"/>
    </row>
    <row r="540" ht="15">
      <c r="A540" s="15"/>
    </row>
    <row r="541" ht="15">
      <c r="A541" s="15"/>
    </row>
    <row r="542" ht="15">
      <c r="A542" s="15"/>
    </row>
    <row r="543" ht="15">
      <c r="A543" s="15"/>
    </row>
    <row r="544" ht="15">
      <c r="A544" s="15"/>
    </row>
    <row r="545" ht="15">
      <c r="A545" s="15"/>
    </row>
    <row r="546" ht="15">
      <c r="A546" s="15"/>
    </row>
    <row r="547" ht="15">
      <c r="A547" s="15"/>
    </row>
    <row r="548" ht="15">
      <c r="A548" s="15"/>
    </row>
    <row r="549" ht="15">
      <c r="A549" s="15"/>
    </row>
    <row r="550" ht="15">
      <c r="A550" s="15"/>
    </row>
    <row r="551" ht="15">
      <c r="A551" s="15"/>
    </row>
    <row r="552" ht="15">
      <c r="A552" s="15"/>
    </row>
    <row r="553" ht="15">
      <c r="A553" s="15"/>
    </row>
    <row r="554" ht="15">
      <c r="A554" s="15"/>
    </row>
    <row r="555" ht="15">
      <c r="A555" s="15"/>
    </row>
    <row r="556" ht="15">
      <c r="A556" s="15"/>
    </row>
    <row r="557" ht="15">
      <c r="A557" s="15"/>
    </row>
    <row r="558" ht="15">
      <c r="A558" s="15"/>
    </row>
    <row r="559" ht="15">
      <c r="A559" s="15"/>
    </row>
    <row r="560" ht="15">
      <c r="A560" s="15"/>
    </row>
    <row r="561" ht="15">
      <c r="A561" s="15"/>
    </row>
    <row r="562" ht="15">
      <c r="A562" s="15"/>
    </row>
    <row r="563" ht="15">
      <c r="A563" s="15"/>
    </row>
    <row r="564" ht="15">
      <c r="A564" s="15"/>
    </row>
    <row r="565" ht="15">
      <c r="A565" s="15"/>
    </row>
    <row r="566" ht="15">
      <c r="A566" s="15"/>
    </row>
    <row r="567" ht="15">
      <c r="A567" s="15"/>
    </row>
    <row r="568" ht="15">
      <c r="A568" s="15"/>
    </row>
    <row r="569" ht="15">
      <c r="A569" s="15"/>
    </row>
    <row r="570" ht="15">
      <c r="A570" s="15"/>
    </row>
    <row r="571" ht="15">
      <c r="A571" s="15"/>
    </row>
    <row r="572" ht="15">
      <c r="A572" s="15"/>
    </row>
    <row r="573" ht="15">
      <c r="A573" s="15"/>
    </row>
    <row r="574" ht="15">
      <c r="A574" s="15"/>
    </row>
    <row r="575" ht="15">
      <c r="A575" s="15"/>
    </row>
    <row r="576" ht="15">
      <c r="A576" s="15"/>
    </row>
    <row r="577" ht="15">
      <c r="A577" s="15"/>
    </row>
    <row r="578" ht="15">
      <c r="A578" s="15"/>
    </row>
    <row r="579" ht="15">
      <c r="A579" s="15"/>
    </row>
    <row r="580" ht="15">
      <c r="A580" s="15"/>
    </row>
    <row r="581" ht="15">
      <c r="A581" s="15"/>
    </row>
    <row r="582" ht="15">
      <c r="A582" s="15"/>
    </row>
    <row r="583" ht="15">
      <c r="A583" s="15"/>
    </row>
    <row r="584" ht="15">
      <c r="A584" s="15"/>
    </row>
  </sheetData>
  <sheetProtection/>
  <autoFilter ref="A5:IU227">
    <sortState ref="A6:IU584">
      <sortCondition sortBy="value" ref="E6:E584"/>
    </sortState>
  </autoFilter>
  <mergeCells count="1">
    <mergeCell ref="A420:A421"/>
  </mergeCells>
  <printOptions/>
  <pageMargins left="0.7" right="0.7" top="0.75" bottom="0.75" header="0.3" footer="0.3"/>
  <pageSetup fitToHeight="0" fitToWidth="1" horizontalDpi="600" verticalDpi="600" orientation="landscape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tabSelected="1" zoomScale="78" zoomScaleNormal="78" zoomScalePageLayoutView="0" workbookViewId="0" topLeftCell="B1">
      <pane ySplit="5" topLeftCell="A180" activePane="bottomLeft" state="frozen"/>
      <selection pane="topLeft" activeCell="A1" sqref="A1"/>
      <selection pane="bottomLeft" activeCell="J190" sqref="J190"/>
    </sheetView>
  </sheetViews>
  <sheetFormatPr defaultColWidth="8.8515625" defaultRowHeight="15"/>
  <cols>
    <col min="1" max="1" width="15.8515625" style="31" bestFit="1" customWidth="1"/>
    <col min="2" max="2" width="21.00390625" style="31" customWidth="1"/>
    <col min="3" max="3" width="13.421875" style="31" customWidth="1"/>
    <col min="4" max="4" width="68.8515625" style="31" customWidth="1"/>
    <col min="5" max="5" width="17.8515625" style="31" customWidth="1"/>
    <col min="6" max="6" width="23.8515625" style="31" customWidth="1"/>
    <col min="7" max="7" width="21.57421875" style="31" customWidth="1"/>
    <col min="8" max="8" width="18.57421875" style="31" customWidth="1"/>
    <col min="9" max="9" width="13.140625" style="31" customWidth="1"/>
    <col min="10" max="10" width="18.8515625" style="191" customWidth="1"/>
    <col min="11" max="11" width="54.140625" style="31" customWidth="1"/>
    <col min="12" max="16384" width="8.8515625" style="31" customWidth="1"/>
  </cols>
  <sheetData>
    <row r="1" spans="2:14" s="3" customFormat="1" ht="23.25" customHeight="1">
      <c r="B1" s="5"/>
      <c r="C1" s="7"/>
      <c r="D1" s="5"/>
      <c r="E1" s="2"/>
      <c r="F1" s="5"/>
      <c r="G1" s="2"/>
      <c r="H1" s="2"/>
      <c r="I1" s="38"/>
      <c r="J1" s="38"/>
      <c r="K1" s="38"/>
      <c r="L1" s="38"/>
      <c r="M1" s="38"/>
      <c r="N1" s="8"/>
    </row>
    <row r="2" spans="2:14" s="3" customFormat="1" ht="23.25" customHeight="1">
      <c r="B2" s="5"/>
      <c r="C2" s="7"/>
      <c r="D2" s="5"/>
      <c r="E2" s="2"/>
      <c r="F2" s="5"/>
      <c r="G2" s="2"/>
      <c r="H2" s="2"/>
      <c r="I2" s="38"/>
      <c r="J2" s="38"/>
      <c r="K2" s="38"/>
      <c r="L2" s="38"/>
      <c r="M2" s="38"/>
      <c r="N2" s="8"/>
    </row>
    <row r="3" spans="2:14" s="3" customFormat="1" ht="23.25" customHeight="1">
      <c r="B3" s="5"/>
      <c r="C3" s="7"/>
      <c r="D3" s="5"/>
      <c r="E3" s="2"/>
      <c r="F3" s="5"/>
      <c r="G3" s="2"/>
      <c r="H3" s="2"/>
      <c r="I3" s="38"/>
      <c r="J3" s="38"/>
      <c r="K3" s="38"/>
      <c r="L3" s="38"/>
      <c r="M3" s="38"/>
      <c r="N3" s="8"/>
    </row>
    <row r="4" spans="2:14" s="3" customFormat="1" ht="23.25" customHeight="1">
      <c r="B4" s="5"/>
      <c r="C4" s="7"/>
      <c r="D4" s="5"/>
      <c r="E4" s="2"/>
      <c r="F4" s="5"/>
      <c r="G4" s="2"/>
      <c r="H4" s="2"/>
      <c r="I4" s="38"/>
      <c r="J4" s="38"/>
      <c r="K4" s="38"/>
      <c r="L4" s="38"/>
      <c r="M4" s="38"/>
      <c r="N4" s="8"/>
    </row>
    <row r="5" spans="1:11" s="14" customFormat="1" ht="99.75" customHeight="1">
      <c r="A5" s="208" t="s">
        <v>0</v>
      </c>
      <c r="B5" s="219" t="s">
        <v>712</v>
      </c>
      <c r="C5" s="208" t="s">
        <v>421</v>
      </c>
      <c r="D5" s="208" t="s">
        <v>1</v>
      </c>
      <c r="E5" s="208" t="s">
        <v>2</v>
      </c>
      <c r="F5" s="210" t="s">
        <v>702</v>
      </c>
      <c r="G5" s="210" t="s">
        <v>703</v>
      </c>
      <c r="H5" s="211" t="s">
        <v>704</v>
      </c>
      <c r="I5" s="213" t="s">
        <v>706</v>
      </c>
      <c r="J5" s="213" t="s">
        <v>713</v>
      </c>
      <c r="K5" s="208" t="s">
        <v>3</v>
      </c>
    </row>
    <row r="6" spans="1:11" s="174" customFormat="1" ht="22.5" customHeight="1">
      <c r="A6" s="64" t="s">
        <v>179</v>
      </c>
      <c r="B6" s="66">
        <v>43544</v>
      </c>
      <c r="C6" s="71">
        <v>5</v>
      </c>
      <c r="D6" s="68" t="s">
        <v>180</v>
      </c>
      <c r="E6" s="12" t="s">
        <v>410</v>
      </c>
      <c r="F6" s="65">
        <v>43830</v>
      </c>
      <c r="G6" s="65">
        <v>43832</v>
      </c>
      <c r="H6" s="65">
        <v>43837</v>
      </c>
      <c r="I6" s="67"/>
      <c r="J6" s="72">
        <v>0.013</v>
      </c>
      <c r="K6" s="67"/>
    </row>
    <row r="7" spans="1:11" s="174" customFormat="1" ht="22.5" customHeight="1">
      <c r="A7" s="64" t="s">
        <v>103</v>
      </c>
      <c r="B7" s="66">
        <v>41281</v>
      </c>
      <c r="C7" s="71">
        <v>5</v>
      </c>
      <c r="D7" s="68" t="s">
        <v>579</v>
      </c>
      <c r="E7" s="12" t="s">
        <v>410</v>
      </c>
      <c r="F7" s="65">
        <v>43830</v>
      </c>
      <c r="G7" s="65">
        <v>43832</v>
      </c>
      <c r="H7" s="65">
        <v>43837</v>
      </c>
      <c r="I7" s="67">
        <v>0.015</v>
      </c>
      <c r="J7" s="72">
        <v>0.025</v>
      </c>
      <c r="K7" s="67" t="s">
        <v>8</v>
      </c>
    </row>
    <row r="8" spans="1:11" s="174" customFormat="1" ht="22.5" customHeight="1">
      <c r="A8" s="64" t="s">
        <v>104</v>
      </c>
      <c r="B8" s="66">
        <v>41281</v>
      </c>
      <c r="C8" s="71">
        <v>5</v>
      </c>
      <c r="D8" s="68" t="s">
        <v>105</v>
      </c>
      <c r="E8" s="12" t="s">
        <v>410</v>
      </c>
      <c r="F8" s="65">
        <v>43830</v>
      </c>
      <c r="G8" s="65">
        <v>43832</v>
      </c>
      <c r="H8" s="65">
        <v>43837</v>
      </c>
      <c r="I8" s="67">
        <v>0.008</v>
      </c>
      <c r="J8" s="72">
        <v>0.01</v>
      </c>
      <c r="K8" s="67" t="s">
        <v>8</v>
      </c>
    </row>
    <row r="9" spans="1:11" s="174" customFormat="1" ht="22.5" customHeight="1">
      <c r="A9" s="64" t="s">
        <v>106</v>
      </c>
      <c r="B9" s="66">
        <v>41281</v>
      </c>
      <c r="C9" s="71">
        <v>5</v>
      </c>
      <c r="D9" s="68" t="s">
        <v>580</v>
      </c>
      <c r="E9" s="12" t="s">
        <v>410</v>
      </c>
      <c r="F9" s="65">
        <v>43830</v>
      </c>
      <c r="G9" s="65">
        <v>43832</v>
      </c>
      <c r="H9" s="65">
        <v>43837</v>
      </c>
      <c r="I9" s="67">
        <v>0.002</v>
      </c>
      <c r="J9" s="72">
        <v>0.002</v>
      </c>
      <c r="K9" s="67" t="s">
        <v>8</v>
      </c>
    </row>
    <row r="10" spans="1:11" ht="26.25" customHeight="1">
      <c r="A10" s="64" t="s">
        <v>16</v>
      </c>
      <c r="B10" s="66">
        <v>41991</v>
      </c>
      <c r="C10" s="71">
        <v>5</v>
      </c>
      <c r="D10" s="68" t="s">
        <v>51</v>
      </c>
      <c r="E10" s="12" t="s">
        <v>414</v>
      </c>
      <c r="F10" s="65">
        <v>43830</v>
      </c>
      <c r="G10" s="65">
        <v>43845</v>
      </c>
      <c r="H10" s="65">
        <v>44216</v>
      </c>
      <c r="I10" s="75">
        <v>0.02</v>
      </c>
      <c r="J10" s="72">
        <v>0.1</v>
      </c>
      <c r="K10" s="67" t="s">
        <v>5</v>
      </c>
    </row>
    <row r="11" spans="1:11" ht="26.25" customHeight="1">
      <c r="A11" s="64" t="s">
        <v>26</v>
      </c>
      <c r="B11" s="66">
        <v>42355</v>
      </c>
      <c r="C11" s="71">
        <v>5</v>
      </c>
      <c r="D11" s="68" t="s">
        <v>70</v>
      </c>
      <c r="E11" s="12" t="s">
        <v>414</v>
      </c>
      <c r="F11" s="65">
        <v>43830</v>
      </c>
      <c r="G11" s="65">
        <v>43845</v>
      </c>
      <c r="H11" s="65">
        <v>44216</v>
      </c>
      <c r="I11" s="75">
        <v>0.02</v>
      </c>
      <c r="J11" s="72">
        <v>0.1</v>
      </c>
      <c r="K11" s="67" t="s">
        <v>5</v>
      </c>
    </row>
    <row r="12" spans="1:11" ht="26.25" customHeight="1">
      <c r="A12" s="64" t="s">
        <v>68</v>
      </c>
      <c r="B12" s="66">
        <v>43454</v>
      </c>
      <c r="C12" s="71">
        <v>5</v>
      </c>
      <c r="D12" s="68" t="s">
        <v>594</v>
      </c>
      <c r="E12" s="12" t="s">
        <v>414</v>
      </c>
      <c r="F12" s="65">
        <v>43830</v>
      </c>
      <c r="G12" s="65">
        <v>43845</v>
      </c>
      <c r="H12" s="65">
        <v>44216</v>
      </c>
      <c r="I12" s="75">
        <v>0.02</v>
      </c>
      <c r="J12" s="72">
        <v>0.1</v>
      </c>
      <c r="K12" s="67" t="s">
        <v>5</v>
      </c>
    </row>
    <row r="13" spans="1:11" s="175" customFormat="1" ht="22.5" customHeight="1">
      <c r="A13" s="64" t="s">
        <v>609</v>
      </c>
      <c r="B13" s="66">
        <v>43100</v>
      </c>
      <c r="C13" s="71">
        <v>50</v>
      </c>
      <c r="D13" s="180" t="s">
        <v>610</v>
      </c>
      <c r="E13" s="12" t="s">
        <v>414</v>
      </c>
      <c r="F13" s="65">
        <v>43846</v>
      </c>
      <c r="G13" s="65">
        <v>43847</v>
      </c>
      <c r="H13" s="65">
        <v>43852</v>
      </c>
      <c r="I13" s="182">
        <v>0.02</v>
      </c>
      <c r="J13" s="72">
        <v>1</v>
      </c>
      <c r="K13" s="67"/>
    </row>
    <row r="14" spans="1:11" s="175" customFormat="1" ht="26.25" customHeight="1">
      <c r="A14" s="79" t="s">
        <v>59</v>
      </c>
      <c r="B14" s="80">
        <v>43131</v>
      </c>
      <c r="C14" s="81">
        <v>5</v>
      </c>
      <c r="D14" s="82" t="s">
        <v>611</v>
      </c>
      <c r="E14" s="1" t="s">
        <v>414</v>
      </c>
      <c r="F14" s="83">
        <v>43861</v>
      </c>
      <c r="G14" s="83">
        <v>43878</v>
      </c>
      <c r="H14" s="83">
        <v>43881</v>
      </c>
      <c r="I14" s="84">
        <v>0.02</v>
      </c>
      <c r="J14" s="85">
        <v>0.1</v>
      </c>
      <c r="K14" s="77" t="s">
        <v>5</v>
      </c>
    </row>
    <row r="15" spans="1:11" s="175" customFormat="1" ht="26.25" customHeight="1">
      <c r="A15" s="79" t="s">
        <v>217</v>
      </c>
      <c r="B15" s="80">
        <v>43131</v>
      </c>
      <c r="C15" s="81">
        <v>5</v>
      </c>
      <c r="D15" s="82" t="s">
        <v>612</v>
      </c>
      <c r="E15" s="1" t="s">
        <v>414</v>
      </c>
      <c r="F15" s="83">
        <v>43861</v>
      </c>
      <c r="G15" s="83">
        <v>43878</v>
      </c>
      <c r="H15" s="83">
        <v>43881</v>
      </c>
      <c r="I15" s="84">
        <v>0.02</v>
      </c>
      <c r="J15" s="85">
        <v>0.1</v>
      </c>
      <c r="K15" s="77" t="s">
        <v>5</v>
      </c>
    </row>
    <row r="16" spans="1:11" s="175" customFormat="1" ht="26.25" customHeight="1">
      <c r="A16" s="91" t="s">
        <v>77</v>
      </c>
      <c r="B16" s="80">
        <v>42053</v>
      </c>
      <c r="C16" s="81">
        <v>100</v>
      </c>
      <c r="D16" s="82" t="s">
        <v>604</v>
      </c>
      <c r="E16" s="92" t="s">
        <v>414</v>
      </c>
      <c r="F16" s="83">
        <v>43879</v>
      </c>
      <c r="G16" s="83">
        <v>43880</v>
      </c>
      <c r="H16" s="83">
        <v>43885</v>
      </c>
      <c r="I16" s="84"/>
      <c r="J16" s="85">
        <v>0</v>
      </c>
      <c r="K16" s="77" t="s">
        <v>6</v>
      </c>
    </row>
    <row r="17" spans="1:11" s="174" customFormat="1" ht="22.5" customHeight="1">
      <c r="A17" s="79" t="s">
        <v>78</v>
      </c>
      <c r="B17" s="80">
        <v>42787</v>
      </c>
      <c r="C17" s="81">
        <v>100</v>
      </c>
      <c r="D17" s="82" t="s">
        <v>600</v>
      </c>
      <c r="E17" s="1" t="s">
        <v>414</v>
      </c>
      <c r="F17" s="83">
        <v>43882</v>
      </c>
      <c r="G17" s="83">
        <v>43885</v>
      </c>
      <c r="H17" s="83">
        <v>43888</v>
      </c>
      <c r="I17" s="84"/>
      <c r="J17" s="85">
        <v>2.5</v>
      </c>
      <c r="K17" s="77" t="s">
        <v>6</v>
      </c>
    </row>
    <row r="18" spans="1:11" s="174" customFormat="1" ht="22.5" customHeight="1">
      <c r="A18" s="79" t="s">
        <v>501</v>
      </c>
      <c r="B18" s="80">
        <v>43518</v>
      </c>
      <c r="C18" s="81">
        <v>100</v>
      </c>
      <c r="D18" s="82" t="s">
        <v>555</v>
      </c>
      <c r="E18" s="1" t="s">
        <v>414</v>
      </c>
      <c r="F18" s="83">
        <v>43885</v>
      </c>
      <c r="G18" s="83">
        <v>43886</v>
      </c>
      <c r="H18" s="83">
        <v>43889</v>
      </c>
      <c r="I18" s="84"/>
      <c r="J18" s="85">
        <v>3.75</v>
      </c>
      <c r="K18" s="77" t="s">
        <v>6</v>
      </c>
    </row>
    <row r="19" spans="1:11" s="174" customFormat="1" ht="22.5" customHeight="1">
      <c r="A19" s="64" t="s">
        <v>318</v>
      </c>
      <c r="B19" s="66">
        <v>43524</v>
      </c>
      <c r="C19" s="71">
        <v>5</v>
      </c>
      <c r="D19" s="68" t="s">
        <v>581</v>
      </c>
      <c r="E19" s="12" t="s">
        <v>506</v>
      </c>
      <c r="F19" s="65">
        <v>43889</v>
      </c>
      <c r="G19" s="65">
        <v>43906</v>
      </c>
      <c r="H19" s="65">
        <v>43909</v>
      </c>
      <c r="I19" s="75" t="s">
        <v>505</v>
      </c>
      <c r="J19" s="72" t="s">
        <v>504</v>
      </c>
      <c r="K19" s="67" t="s">
        <v>327</v>
      </c>
    </row>
    <row r="20" spans="1:11" s="174" customFormat="1" ht="22.5" customHeight="1">
      <c r="A20" s="64" t="s">
        <v>117</v>
      </c>
      <c r="B20" s="66">
        <v>43511</v>
      </c>
      <c r="C20" s="71">
        <v>5</v>
      </c>
      <c r="D20" s="68" t="s">
        <v>119</v>
      </c>
      <c r="E20" s="12" t="s">
        <v>414</v>
      </c>
      <c r="F20" s="65">
        <v>43889</v>
      </c>
      <c r="G20" s="65">
        <v>43906</v>
      </c>
      <c r="H20" s="65">
        <v>43909</v>
      </c>
      <c r="I20" s="75">
        <v>0.017</v>
      </c>
      <c r="J20" s="72">
        <v>0.085</v>
      </c>
      <c r="K20" s="67" t="s">
        <v>5</v>
      </c>
    </row>
    <row r="21" spans="1:11" s="174" customFormat="1" ht="22.5" customHeight="1">
      <c r="A21" s="64" t="s">
        <v>19</v>
      </c>
      <c r="B21" s="66">
        <v>42053</v>
      </c>
      <c r="C21" s="71">
        <v>5</v>
      </c>
      <c r="D21" s="68" t="s">
        <v>118</v>
      </c>
      <c r="E21" s="12" t="s">
        <v>414</v>
      </c>
      <c r="F21" s="65">
        <v>43889</v>
      </c>
      <c r="G21" s="65">
        <v>43906</v>
      </c>
      <c r="H21" s="65">
        <v>43909</v>
      </c>
      <c r="I21" s="75">
        <v>0.02</v>
      </c>
      <c r="J21" s="72">
        <v>0.1</v>
      </c>
      <c r="K21" s="67" t="s">
        <v>5</v>
      </c>
    </row>
    <row r="22" spans="1:11" s="174" customFormat="1" ht="22.5" customHeight="1">
      <c r="A22" s="64" t="s">
        <v>28</v>
      </c>
      <c r="B22" s="66">
        <v>42416</v>
      </c>
      <c r="C22" s="71">
        <v>5</v>
      </c>
      <c r="D22" s="68" t="s">
        <v>616</v>
      </c>
      <c r="E22" s="12" t="s">
        <v>414</v>
      </c>
      <c r="F22" s="65">
        <v>43889</v>
      </c>
      <c r="G22" s="65">
        <v>43906</v>
      </c>
      <c r="H22" s="65">
        <v>43909</v>
      </c>
      <c r="I22" s="75">
        <v>0.02</v>
      </c>
      <c r="J22" s="72">
        <v>0.1</v>
      </c>
      <c r="K22" s="67" t="s">
        <v>5</v>
      </c>
    </row>
    <row r="23" spans="1:11" s="174" customFormat="1" ht="26.25" customHeight="1">
      <c r="A23" s="64" t="s">
        <v>41</v>
      </c>
      <c r="B23" s="66">
        <v>42787</v>
      </c>
      <c r="C23" s="71">
        <v>5</v>
      </c>
      <c r="D23" s="68" t="s">
        <v>618</v>
      </c>
      <c r="E23" s="12" t="s">
        <v>414</v>
      </c>
      <c r="F23" s="65">
        <v>43889</v>
      </c>
      <c r="G23" s="65">
        <v>43906</v>
      </c>
      <c r="H23" s="65">
        <v>43909</v>
      </c>
      <c r="I23" s="75">
        <v>0.02</v>
      </c>
      <c r="J23" s="72">
        <v>0.1</v>
      </c>
      <c r="K23" s="67" t="s">
        <v>5</v>
      </c>
    </row>
    <row r="24" spans="1:11" s="174" customFormat="1" ht="26.25" customHeight="1">
      <c r="A24" s="64" t="s">
        <v>60</v>
      </c>
      <c r="B24" s="66">
        <v>43159</v>
      </c>
      <c r="C24" s="71">
        <v>5</v>
      </c>
      <c r="D24" s="68" t="s">
        <v>619</v>
      </c>
      <c r="E24" s="12" t="s">
        <v>414</v>
      </c>
      <c r="F24" s="65">
        <v>43889</v>
      </c>
      <c r="G24" s="65">
        <v>43906</v>
      </c>
      <c r="H24" s="65">
        <v>43909</v>
      </c>
      <c r="I24" s="75">
        <v>0.02</v>
      </c>
      <c r="J24" s="72">
        <v>0.1</v>
      </c>
      <c r="K24" s="67" t="s">
        <v>5</v>
      </c>
    </row>
    <row r="25" spans="1:11" s="174" customFormat="1" ht="26.25" customHeight="1">
      <c r="A25" s="64" t="s">
        <v>507</v>
      </c>
      <c r="B25" s="66">
        <v>43553</v>
      </c>
      <c r="C25" s="71">
        <v>100</v>
      </c>
      <c r="D25" s="68" t="s">
        <v>601</v>
      </c>
      <c r="E25" s="12" t="s">
        <v>414</v>
      </c>
      <c r="F25" s="65">
        <v>43920</v>
      </c>
      <c r="G25" s="65">
        <v>43921</v>
      </c>
      <c r="H25" s="65">
        <v>43924</v>
      </c>
      <c r="I25" s="75"/>
      <c r="J25" s="72">
        <v>0</v>
      </c>
      <c r="K25" s="67" t="s">
        <v>6</v>
      </c>
    </row>
    <row r="26" spans="1:11" s="174" customFormat="1" ht="26.25" customHeight="1">
      <c r="A26" s="64" t="s">
        <v>179</v>
      </c>
      <c r="B26" s="66">
        <v>43544</v>
      </c>
      <c r="C26" s="105">
        <v>5</v>
      </c>
      <c r="D26" s="68" t="s">
        <v>180</v>
      </c>
      <c r="E26" s="12" t="s">
        <v>410</v>
      </c>
      <c r="F26" s="65">
        <v>43921</v>
      </c>
      <c r="G26" s="65">
        <v>43922</v>
      </c>
      <c r="H26" s="65">
        <v>43927</v>
      </c>
      <c r="I26" s="75">
        <v>0.0045</v>
      </c>
      <c r="J26" s="60">
        <v>0.0057</v>
      </c>
      <c r="K26" s="97" t="s">
        <v>8</v>
      </c>
    </row>
    <row r="27" spans="1:11" s="174" customFormat="1" ht="26.25" customHeight="1">
      <c r="A27" s="64" t="s">
        <v>103</v>
      </c>
      <c r="B27" s="66">
        <v>41281</v>
      </c>
      <c r="C27" s="71">
        <v>5</v>
      </c>
      <c r="D27" s="68" t="s">
        <v>579</v>
      </c>
      <c r="E27" s="12" t="s">
        <v>410</v>
      </c>
      <c r="F27" s="65">
        <v>43921</v>
      </c>
      <c r="G27" s="65">
        <v>43922</v>
      </c>
      <c r="H27" s="65">
        <v>43927</v>
      </c>
      <c r="I27" s="75">
        <v>0.001</v>
      </c>
      <c r="J27" s="60">
        <v>0.0017</v>
      </c>
      <c r="K27" s="67" t="s">
        <v>500</v>
      </c>
    </row>
    <row r="28" spans="1:11" s="174" customFormat="1" ht="26.25" customHeight="1">
      <c r="A28" s="64" t="s">
        <v>104</v>
      </c>
      <c r="B28" s="66">
        <v>41281</v>
      </c>
      <c r="C28" s="71">
        <v>5</v>
      </c>
      <c r="D28" s="68" t="s">
        <v>105</v>
      </c>
      <c r="E28" s="12" t="s">
        <v>410</v>
      </c>
      <c r="F28" s="65">
        <v>43921</v>
      </c>
      <c r="G28" s="65">
        <v>43922</v>
      </c>
      <c r="H28" s="65">
        <v>43927</v>
      </c>
      <c r="I28" s="75">
        <v>0.001</v>
      </c>
      <c r="J28" s="60">
        <v>0.0014</v>
      </c>
      <c r="K28" s="67" t="s">
        <v>500</v>
      </c>
    </row>
    <row r="29" spans="1:11" s="174" customFormat="1" ht="26.25" customHeight="1">
      <c r="A29" s="64" t="s">
        <v>106</v>
      </c>
      <c r="B29" s="66">
        <v>41281</v>
      </c>
      <c r="C29" s="71">
        <v>5</v>
      </c>
      <c r="D29" s="68" t="s">
        <v>580</v>
      </c>
      <c r="E29" s="12" t="s">
        <v>410</v>
      </c>
      <c r="F29" s="65">
        <v>43921</v>
      </c>
      <c r="G29" s="65">
        <v>43922</v>
      </c>
      <c r="H29" s="65">
        <v>43927</v>
      </c>
      <c r="I29" s="75">
        <v>0.001</v>
      </c>
      <c r="J29" s="60">
        <v>0.0015</v>
      </c>
      <c r="K29" s="67" t="s">
        <v>500</v>
      </c>
    </row>
    <row r="30" spans="1:11" s="175" customFormat="1" ht="22.5" customHeight="1">
      <c r="A30" s="64" t="s">
        <v>79</v>
      </c>
      <c r="B30" s="66">
        <v>42094</v>
      </c>
      <c r="C30" s="71">
        <v>100</v>
      </c>
      <c r="D30" s="68" t="s">
        <v>606</v>
      </c>
      <c r="E30" s="12" t="s">
        <v>414</v>
      </c>
      <c r="F30" s="65">
        <v>43921</v>
      </c>
      <c r="G30" s="65">
        <v>43922</v>
      </c>
      <c r="H30" s="65">
        <v>43927</v>
      </c>
      <c r="I30" s="75"/>
      <c r="J30" s="72">
        <v>0</v>
      </c>
      <c r="K30" s="67" t="s">
        <v>6</v>
      </c>
    </row>
    <row r="31" spans="1:11" s="175" customFormat="1" ht="22.5" customHeight="1">
      <c r="A31" s="64" t="s">
        <v>80</v>
      </c>
      <c r="B31" s="66">
        <v>42460</v>
      </c>
      <c r="C31" s="71">
        <v>100</v>
      </c>
      <c r="D31" s="68" t="s">
        <v>602</v>
      </c>
      <c r="E31" s="12" t="s">
        <v>414</v>
      </c>
      <c r="F31" s="65">
        <v>43921</v>
      </c>
      <c r="G31" s="65">
        <v>43922</v>
      </c>
      <c r="H31" s="65">
        <v>43927</v>
      </c>
      <c r="I31" s="75"/>
      <c r="J31" s="72">
        <v>0</v>
      </c>
      <c r="K31" s="67" t="s">
        <v>6</v>
      </c>
    </row>
    <row r="32" spans="1:11" s="175" customFormat="1" ht="22.5" customHeight="1">
      <c r="A32" s="79" t="s">
        <v>115</v>
      </c>
      <c r="B32" s="80">
        <v>43553</v>
      </c>
      <c r="C32" s="81">
        <v>5</v>
      </c>
      <c r="D32" s="82" t="s">
        <v>626</v>
      </c>
      <c r="E32" s="1" t="s">
        <v>414</v>
      </c>
      <c r="F32" s="83">
        <v>43921</v>
      </c>
      <c r="G32" s="83">
        <v>43936</v>
      </c>
      <c r="H32" s="83">
        <v>43941</v>
      </c>
      <c r="I32" s="84">
        <v>0.014</v>
      </c>
      <c r="J32" s="85">
        <v>0.07</v>
      </c>
      <c r="K32" s="77" t="s">
        <v>5</v>
      </c>
    </row>
    <row r="33" spans="1:11" s="175" customFormat="1" ht="22.5" customHeight="1">
      <c r="A33" s="79" t="s">
        <v>116</v>
      </c>
      <c r="B33" s="80">
        <v>43553</v>
      </c>
      <c r="C33" s="81">
        <v>5</v>
      </c>
      <c r="D33" s="82" t="s">
        <v>623</v>
      </c>
      <c r="E33" s="1" t="s">
        <v>414</v>
      </c>
      <c r="F33" s="83">
        <v>43921</v>
      </c>
      <c r="G33" s="83">
        <v>43936</v>
      </c>
      <c r="H33" s="83">
        <v>43941</v>
      </c>
      <c r="I33" s="84">
        <v>0.014</v>
      </c>
      <c r="J33" s="85">
        <v>0.07</v>
      </c>
      <c r="K33" s="77" t="s">
        <v>5</v>
      </c>
    </row>
    <row r="34" spans="1:11" s="175" customFormat="1" ht="22.5" customHeight="1">
      <c r="A34" s="79" t="s">
        <v>20</v>
      </c>
      <c r="B34" s="80">
        <v>42094</v>
      </c>
      <c r="C34" s="81">
        <v>5</v>
      </c>
      <c r="D34" s="82" t="s">
        <v>53</v>
      </c>
      <c r="E34" s="1" t="s">
        <v>414</v>
      </c>
      <c r="F34" s="83">
        <v>43921</v>
      </c>
      <c r="G34" s="83">
        <v>43936</v>
      </c>
      <c r="H34" s="83">
        <v>43941</v>
      </c>
      <c r="I34" s="84">
        <v>0.02</v>
      </c>
      <c r="J34" s="85">
        <v>0.1</v>
      </c>
      <c r="K34" s="77" t="s">
        <v>5</v>
      </c>
    </row>
    <row r="35" spans="1:11" s="175" customFormat="1" ht="22.5" customHeight="1">
      <c r="A35" s="79" t="s">
        <v>29</v>
      </c>
      <c r="B35" s="80">
        <v>42460</v>
      </c>
      <c r="C35" s="81">
        <v>5</v>
      </c>
      <c r="D35" s="82" t="s">
        <v>622</v>
      </c>
      <c r="E35" s="1" t="s">
        <v>414</v>
      </c>
      <c r="F35" s="83">
        <v>43921</v>
      </c>
      <c r="G35" s="83">
        <v>43936</v>
      </c>
      <c r="H35" s="83">
        <v>43941</v>
      </c>
      <c r="I35" s="84">
        <v>0.02</v>
      </c>
      <c r="J35" s="85">
        <v>0.1</v>
      </c>
      <c r="K35" s="77" t="s">
        <v>5</v>
      </c>
    </row>
    <row r="36" spans="1:11" s="175" customFormat="1" ht="27.75" customHeight="1">
      <c r="A36" s="79" t="s">
        <v>42</v>
      </c>
      <c r="B36" s="80">
        <v>42825</v>
      </c>
      <c r="C36" s="81">
        <v>5</v>
      </c>
      <c r="D36" s="82" t="s">
        <v>625</v>
      </c>
      <c r="E36" s="1" t="s">
        <v>414</v>
      </c>
      <c r="F36" s="83">
        <v>43921</v>
      </c>
      <c r="G36" s="83">
        <v>43936</v>
      </c>
      <c r="H36" s="83">
        <v>43941</v>
      </c>
      <c r="I36" s="84">
        <v>0.02</v>
      </c>
      <c r="J36" s="85">
        <v>0.1</v>
      </c>
      <c r="K36" s="77" t="s">
        <v>5</v>
      </c>
    </row>
    <row r="37" spans="1:11" s="175" customFormat="1" ht="24.75" customHeight="1">
      <c r="A37" s="79" t="s">
        <v>61</v>
      </c>
      <c r="B37" s="80">
        <v>43188</v>
      </c>
      <c r="C37" s="81">
        <v>5</v>
      </c>
      <c r="D37" s="82" t="s">
        <v>624</v>
      </c>
      <c r="E37" s="1" t="s">
        <v>414</v>
      </c>
      <c r="F37" s="83">
        <v>43921</v>
      </c>
      <c r="G37" s="83">
        <v>43936</v>
      </c>
      <c r="H37" s="83">
        <v>43941</v>
      </c>
      <c r="I37" s="84">
        <v>0.02</v>
      </c>
      <c r="J37" s="85">
        <v>0.1</v>
      </c>
      <c r="K37" s="77" t="s">
        <v>5</v>
      </c>
    </row>
    <row r="38" spans="1:11" ht="26.25" customHeight="1">
      <c r="A38" s="79" t="s">
        <v>43</v>
      </c>
      <c r="B38" s="80">
        <v>42853</v>
      </c>
      <c r="C38" s="81">
        <v>5</v>
      </c>
      <c r="D38" s="82" t="s">
        <v>632</v>
      </c>
      <c r="E38" s="82" t="s">
        <v>414</v>
      </c>
      <c r="F38" s="83">
        <v>43951</v>
      </c>
      <c r="G38" s="83">
        <v>43966</v>
      </c>
      <c r="H38" s="83">
        <v>43971</v>
      </c>
      <c r="I38" s="84">
        <v>0.02</v>
      </c>
      <c r="J38" s="85">
        <v>0.1</v>
      </c>
      <c r="K38" s="77" t="s">
        <v>5</v>
      </c>
    </row>
    <row r="39" spans="1:11" s="176" customFormat="1" ht="22.5" customHeight="1">
      <c r="A39" s="79" t="s">
        <v>62</v>
      </c>
      <c r="B39" s="80">
        <v>43220</v>
      </c>
      <c r="C39" s="81">
        <v>5</v>
      </c>
      <c r="D39" s="82" t="s">
        <v>631</v>
      </c>
      <c r="E39" s="1" t="s">
        <v>414</v>
      </c>
      <c r="F39" s="83">
        <v>43951</v>
      </c>
      <c r="G39" s="83">
        <v>43966</v>
      </c>
      <c r="H39" s="83">
        <v>43971</v>
      </c>
      <c r="I39" s="84">
        <v>0.02</v>
      </c>
      <c r="J39" s="85">
        <v>0.1</v>
      </c>
      <c r="K39" s="77" t="s">
        <v>5</v>
      </c>
    </row>
    <row r="40" spans="1:11" s="176" customFormat="1" ht="22.5" customHeight="1">
      <c r="A40" s="79" t="s">
        <v>127</v>
      </c>
      <c r="B40" s="80">
        <v>43585</v>
      </c>
      <c r="C40" s="81">
        <v>5</v>
      </c>
      <c r="D40" s="82" t="s">
        <v>630</v>
      </c>
      <c r="E40" s="82" t="s">
        <v>414</v>
      </c>
      <c r="F40" s="83">
        <v>43951</v>
      </c>
      <c r="G40" s="83">
        <v>43966</v>
      </c>
      <c r="H40" s="83">
        <v>43971</v>
      </c>
      <c r="I40" s="84">
        <v>0.02</v>
      </c>
      <c r="J40" s="85">
        <v>0.1</v>
      </c>
      <c r="K40" s="77" t="s">
        <v>5</v>
      </c>
    </row>
    <row r="41" spans="1:11" s="174" customFormat="1" ht="26.25" customHeight="1">
      <c r="A41" s="64" t="s">
        <v>30</v>
      </c>
      <c r="B41" s="66">
        <v>42502</v>
      </c>
      <c r="C41" s="71">
        <v>5</v>
      </c>
      <c r="D41" s="68" t="s">
        <v>633</v>
      </c>
      <c r="E41" s="12" t="s">
        <v>414</v>
      </c>
      <c r="F41" s="65">
        <v>43966</v>
      </c>
      <c r="G41" s="65">
        <v>43980</v>
      </c>
      <c r="H41" s="65">
        <v>43985</v>
      </c>
      <c r="I41" s="75">
        <v>0.02</v>
      </c>
      <c r="J41" s="72">
        <v>0.1</v>
      </c>
      <c r="K41" s="67" t="s">
        <v>5</v>
      </c>
    </row>
    <row r="42" spans="1:11" s="175" customFormat="1" ht="26.25" customHeight="1">
      <c r="A42" s="79" t="s">
        <v>128</v>
      </c>
      <c r="B42" s="116">
        <v>43602</v>
      </c>
      <c r="C42" s="117">
        <v>100</v>
      </c>
      <c r="D42" s="82" t="s">
        <v>603</v>
      </c>
      <c r="E42" s="1" t="s">
        <v>414</v>
      </c>
      <c r="F42" s="83">
        <v>43969</v>
      </c>
      <c r="G42" s="83"/>
      <c r="H42" s="83"/>
      <c r="I42" s="84"/>
      <c r="J42" s="85">
        <v>0</v>
      </c>
      <c r="K42" s="77" t="s">
        <v>129</v>
      </c>
    </row>
    <row r="43" spans="1:11" s="175" customFormat="1" ht="26.25" customHeight="1">
      <c r="A43" s="79" t="s">
        <v>21</v>
      </c>
      <c r="B43" s="80">
        <v>42143</v>
      </c>
      <c r="C43" s="117">
        <v>5</v>
      </c>
      <c r="D43" s="82" t="s">
        <v>54</v>
      </c>
      <c r="E43" s="1" t="s">
        <v>414</v>
      </c>
      <c r="F43" s="83">
        <v>43970</v>
      </c>
      <c r="G43" s="83">
        <v>43997</v>
      </c>
      <c r="H43" s="83">
        <v>44000</v>
      </c>
      <c r="I43" s="84">
        <v>0.02</v>
      </c>
      <c r="J43" s="85">
        <v>0.1</v>
      </c>
      <c r="K43" s="77" t="s">
        <v>5</v>
      </c>
    </row>
    <row r="44" spans="1:11" s="175" customFormat="1" ht="26.25" customHeight="1">
      <c r="A44" s="79" t="s">
        <v>81</v>
      </c>
      <c r="B44" s="80">
        <v>42143</v>
      </c>
      <c r="C44" s="117">
        <v>100</v>
      </c>
      <c r="D44" s="82" t="s">
        <v>607</v>
      </c>
      <c r="E44" s="1" t="s">
        <v>414</v>
      </c>
      <c r="F44" s="83">
        <v>43970</v>
      </c>
      <c r="G44" s="83"/>
      <c r="H44" s="83"/>
      <c r="I44" s="84"/>
      <c r="J44" s="85">
        <v>0</v>
      </c>
      <c r="K44" s="77" t="s">
        <v>6</v>
      </c>
    </row>
    <row r="45" spans="1:11" s="175" customFormat="1" ht="26.25" customHeight="1">
      <c r="A45" s="79" t="s">
        <v>125</v>
      </c>
      <c r="B45" s="80">
        <v>43602</v>
      </c>
      <c r="C45" s="117">
        <v>5</v>
      </c>
      <c r="D45" s="82" t="s">
        <v>634</v>
      </c>
      <c r="E45" s="1" t="s">
        <v>414</v>
      </c>
      <c r="F45" s="83">
        <v>43980</v>
      </c>
      <c r="G45" s="83">
        <v>43997</v>
      </c>
      <c r="H45" s="83">
        <v>44000</v>
      </c>
      <c r="I45" s="84">
        <v>0.0135</v>
      </c>
      <c r="J45" s="85">
        <v>0.0675</v>
      </c>
      <c r="K45" s="77" t="s">
        <v>5</v>
      </c>
    </row>
    <row r="46" spans="1:11" s="175" customFormat="1" ht="26.25" customHeight="1">
      <c r="A46" s="79" t="s">
        <v>126</v>
      </c>
      <c r="B46" s="80">
        <v>43602</v>
      </c>
      <c r="C46" s="117">
        <v>5</v>
      </c>
      <c r="D46" s="82" t="s">
        <v>635</v>
      </c>
      <c r="E46" s="1" t="s">
        <v>414</v>
      </c>
      <c r="F46" s="83">
        <v>43980</v>
      </c>
      <c r="G46" s="83">
        <v>43997</v>
      </c>
      <c r="H46" s="83">
        <v>44000</v>
      </c>
      <c r="I46" s="84">
        <v>0.0135</v>
      </c>
      <c r="J46" s="85">
        <v>0.0675</v>
      </c>
      <c r="K46" s="77" t="s">
        <v>5</v>
      </c>
    </row>
    <row r="47" spans="1:11" ht="26.25" customHeight="1">
      <c r="A47" s="122" t="s">
        <v>44</v>
      </c>
      <c r="B47" s="123">
        <v>42886</v>
      </c>
      <c r="C47" s="124">
        <v>5</v>
      </c>
      <c r="D47" s="125" t="s">
        <v>636</v>
      </c>
      <c r="E47" s="126" t="s">
        <v>414</v>
      </c>
      <c r="F47" s="83">
        <v>43980</v>
      </c>
      <c r="G47" s="83">
        <v>43997</v>
      </c>
      <c r="H47" s="83">
        <v>44000</v>
      </c>
      <c r="I47" s="84">
        <v>0.02</v>
      </c>
      <c r="J47" s="85">
        <v>0.1</v>
      </c>
      <c r="K47" s="127" t="s">
        <v>5</v>
      </c>
    </row>
    <row r="48" spans="1:11" s="176" customFormat="1" ht="22.5" customHeight="1">
      <c r="A48" s="79" t="s">
        <v>71</v>
      </c>
      <c r="B48" s="80">
        <v>43250</v>
      </c>
      <c r="C48" s="81">
        <v>5</v>
      </c>
      <c r="D48" s="82" t="s">
        <v>637</v>
      </c>
      <c r="E48" s="1" t="s">
        <v>414</v>
      </c>
      <c r="F48" s="83">
        <v>43980</v>
      </c>
      <c r="G48" s="83">
        <v>43997</v>
      </c>
      <c r="H48" s="83">
        <v>44000</v>
      </c>
      <c r="I48" s="84">
        <v>0.02</v>
      </c>
      <c r="J48" s="85">
        <v>0.1</v>
      </c>
      <c r="K48" s="77" t="s">
        <v>5</v>
      </c>
    </row>
    <row r="49" spans="1:11" s="174" customFormat="1" ht="26.25" customHeight="1">
      <c r="A49" s="64" t="s">
        <v>316</v>
      </c>
      <c r="B49" s="66">
        <v>43644</v>
      </c>
      <c r="C49" s="105">
        <v>100</v>
      </c>
      <c r="D49" s="68" t="s">
        <v>605</v>
      </c>
      <c r="E49" s="12" t="s">
        <v>414</v>
      </c>
      <c r="F49" s="65">
        <v>44011</v>
      </c>
      <c r="G49" s="65"/>
      <c r="H49" s="65"/>
      <c r="I49" s="75"/>
      <c r="J49" s="72">
        <v>0</v>
      </c>
      <c r="K49" s="67" t="s">
        <v>129</v>
      </c>
    </row>
    <row r="50" spans="1:11" s="174" customFormat="1" ht="26.25" customHeight="1">
      <c r="A50" s="64" t="s">
        <v>179</v>
      </c>
      <c r="B50" s="66">
        <v>43544</v>
      </c>
      <c r="C50" s="105">
        <v>5</v>
      </c>
      <c r="D50" s="12" t="s">
        <v>180</v>
      </c>
      <c r="E50" s="12" t="s">
        <v>410</v>
      </c>
      <c r="F50" s="65">
        <v>44012</v>
      </c>
      <c r="G50" s="65">
        <v>44013</v>
      </c>
      <c r="H50" s="65">
        <v>44018</v>
      </c>
      <c r="I50" s="75">
        <v>0.0045</v>
      </c>
      <c r="J50" s="60">
        <v>0.0057</v>
      </c>
      <c r="K50" s="67" t="s">
        <v>8</v>
      </c>
    </row>
    <row r="51" spans="1:11" s="174" customFormat="1" ht="26.25" customHeight="1">
      <c r="A51" s="64" t="s">
        <v>103</v>
      </c>
      <c r="B51" s="66">
        <v>41281</v>
      </c>
      <c r="C51" s="105">
        <v>5</v>
      </c>
      <c r="D51" s="68" t="s">
        <v>579</v>
      </c>
      <c r="E51" s="12" t="s">
        <v>410</v>
      </c>
      <c r="F51" s="65">
        <v>44012</v>
      </c>
      <c r="G51" s="65">
        <v>44013</v>
      </c>
      <c r="H51" s="65">
        <v>44018</v>
      </c>
      <c r="I51" s="75">
        <v>0.001</v>
      </c>
      <c r="J51" s="60">
        <v>0.0017</v>
      </c>
      <c r="K51" s="67" t="s">
        <v>500</v>
      </c>
    </row>
    <row r="52" spans="1:11" s="174" customFormat="1" ht="26.25" customHeight="1">
      <c r="A52" s="64" t="s">
        <v>104</v>
      </c>
      <c r="B52" s="66">
        <v>41281</v>
      </c>
      <c r="C52" s="71">
        <v>5</v>
      </c>
      <c r="D52" s="12" t="s">
        <v>105</v>
      </c>
      <c r="E52" s="68" t="s">
        <v>410</v>
      </c>
      <c r="F52" s="65">
        <v>44012</v>
      </c>
      <c r="G52" s="65">
        <v>44013</v>
      </c>
      <c r="H52" s="65">
        <v>44018</v>
      </c>
      <c r="I52" s="75">
        <v>0.001</v>
      </c>
      <c r="J52" s="60">
        <v>0.0014</v>
      </c>
      <c r="K52" s="67" t="s">
        <v>500</v>
      </c>
    </row>
    <row r="53" spans="1:11" s="174" customFormat="1" ht="22.5" customHeight="1">
      <c r="A53" s="64" t="s">
        <v>106</v>
      </c>
      <c r="B53" s="66">
        <v>41281</v>
      </c>
      <c r="C53" s="71">
        <v>5</v>
      </c>
      <c r="D53" s="68" t="s">
        <v>580</v>
      </c>
      <c r="E53" s="12" t="s">
        <v>410</v>
      </c>
      <c r="F53" s="65">
        <v>44012</v>
      </c>
      <c r="G53" s="65">
        <v>44013</v>
      </c>
      <c r="H53" s="65">
        <v>44018</v>
      </c>
      <c r="I53" s="75">
        <v>0.001</v>
      </c>
      <c r="J53" s="60">
        <v>0.0015</v>
      </c>
      <c r="K53" s="67" t="s">
        <v>500</v>
      </c>
    </row>
    <row r="54" spans="1:11" s="174" customFormat="1" ht="26.25" customHeight="1">
      <c r="A54" s="64" t="s">
        <v>36</v>
      </c>
      <c r="B54" s="66">
        <v>42551</v>
      </c>
      <c r="C54" s="71">
        <v>5</v>
      </c>
      <c r="D54" s="68" t="s">
        <v>582</v>
      </c>
      <c r="E54" s="12" t="s">
        <v>414</v>
      </c>
      <c r="F54" s="65">
        <v>44012</v>
      </c>
      <c r="G54" s="65">
        <v>44027</v>
      </c>
      <c r="H54" s="65">
        <v>44032</v>
      </c>
      <c r="I54" s="75"/>
      <c r="J54" s="72">
        <v>0.1022</v>
      </c>
      <c r="K54" s="67"/>
    </row>
    <row r="55" spans="1:11" s="174" customFormat="1" ht="26.25" customHeight="1">
      <c r="A55" s="64" t="s">
        <v>521</v>
      </c>
      <c r="B55" s="66">
        <v>43644</v>
      </c>
      <c r="C55" s="105">
        <v>5</v>
      </c>
      <c r="D55" s="12" t="s">
        <v>583</v>
      </c>
      <c r="E55" s="12" t="s">
        <v>422</v>
      </c>
      <c r="F55" s="65">
        <v>44012</v>
      </c>
      <c r="G55" s="65">
        <v>44027</v>
      </c>
      <c r="H55" s="65">
        <v>44032</v>
      </c>
      <c r="I55" s="75" t="s">
        <v>522</v>
      </c>
      <c r="J55" s="72" t="s">
        <v>524</v>
      </c>
      <c r="K55" s="67" t="s">
        <v>327</v>
      </c>
    </row>
    <row r="56" spans="1:11" s="174" customFormat="1" ht="26.25" customHeight="1">
      <c r="A56" s="64" t="s">
        <v>22</v>
      </c>
      <c r="B56" s="66">
        <v>42185</v>
      </c>
      <c r="C56" s="105">
        <v>5</v>
      </c>
      <c r="D56" s="12" t="s">
        <v>55</v>
      </c>
      <c r="E56" s="12" t="s">
        <v>414</v>
      </c>
      <c r="F56" s="65">
        <v>44012</v>
      </c>
      <c r="G56" s="65">
        <v>44027</v>
      </c>
      <c r="H56" s="65">
        <v>44032</v>
      </c>
      <c r="I56" s="75">
        <v>0.02</v>
      </c>
      <c r="J56" s="72">
        <v>0.1</v>
      </c>
      <c r="K56" s="67" t="s">
        <v>5</v>
      </c>
    </row>
    <row r="57" spans="1:11" s="174" customFormat="1" ht="26.25" customHeight="1">
      <c r="A57" s="64" t="s">
        <v>31</v>
      </c>
      <c r="B57" s="66">
        <v>42551</v>
      </c>
      <c r="C57" s="105">
        <v>5</v>
      </c>
      <c r="D57" s="12" t="s">
        <v>640</v>
      </c>
      <c r="E57" s="12" t="s">
        <v>414</v>
      </c>
      <c r="F57" s="65">
        <v>44012</v>
      </c>
      <c r="G57" s="65">
        <v>44027</v>
      </c>
      <c r="H57" s="65">
        <v>44032</v>
      </c>
      <c r="I57" s="75">
        <v>0.02</v>
      </c>
      <c r="J57" s="72">
        <v>0.1</v>
      </c>
      <c r="K57" s="67" t="s">
        <v>5</v>
      </c>
    </row>
    <row r="58" spans="1:11" s="174" customFormat="1" ht="26.25" customHeight="1">
      <c r="A58" s="64" t="s">
        <v>45</v>
      </c>
      <c r="B58" s="66">
        <v>42916</v>
      </c>
      <c r="C58" s="105">
        <v>5</v>
      </c>
      <c r="D58" s="12" t="s">
        <v>641</v>
      </c>
      <c r="E58" s="12" t="s">
        <v>414</v>
      </c>
      <c r="F58" s="65">
        <v>44012</v>
      </c>
      <c r="G58" s="65">
        <v>44027</v>
      </c>
      <c r="H58" s="65">
        <v>44032</v>
      </c>
      <c r="I58" s="75">
        <v>0.02</v>
      </c>
      <c r="J58" s="72">
        <v>0.1</v>
      </c>
      <c r="K58" s="67" t="s">
        <v>5</v>
      </c>
    </row>
    <row r="59" spans="1:11" s="174" customFormat="1" ht="26.25" customHeight="1">
      <c r="A59" s="64" t="s">
        <v>63</v>
      </c>
      <c r="B59" s="66">
        <v>43280</v>
      </c>
      <c r="C59" s="105">
        <v>5</v>
      </c>
      <c r="D59" s="12" t="s">
        <v>642</v>
      </c>
      <c r="E59" s="12" t="s">
        <v>414</v>
      </c>
      <c r="F59" s="65">
        <v>44012</v>
      </c>
      <c r="G59" s="65">
        <v>44027</v>
      </c>
      <c r="H59" s="65">
        <v>44032</v>
      </c>
      <c r="I59" s="75">
        <v>0.02</v>
      </c>
      <c r="J59" s="72">
        <v>0.1</v>
      </c>
      <c r="K59" s="67" t="s">
        <v>5</v>
      </c>
    </row>
    <row r="60" spans="1:11" s="174" customFormat="1" ht="26.25" customHeight="1">
      <c r="A60" s="64" t="s">
        <v>130</v>
      </c>
      <c r="B60" s="66">
        <v>43644</v>
      </c>
      <c r="C60" s="105">
        <v>5</v>
      </c>
      <c r="D60" s="12" t="s">
        <v>644</v>
      </c>
      <c r="E60" s="12" t="s">
        <v>414</v>
      </c>
      <c r="F60" s="65">
        <v>44012</v>
      </c>
      <c r="G60" s="65">
        <v>44027</v>
      </c>
      <c r="H60" s="65">
        <v>44032</v>
      </c>
      <c r="I60" s="75">
        <v>0.01</v>
      </c>
      <c r="J60" s="72">
        <v>0.05</v>
      </c>
      <c r="K60" s="67" t="s">
        <v>5</v>
      </c>
    </row>
    <row r="61" spans="1:11" s="177" customFormat="1" ht="22.5" customHeight="1">
      <c r="A61" s="64" t="s">
        <v>131</v>
      </c>
      <c r="B61" s="66">
        <v>43644</v>
      </c>
      <c r="C61" s="71">
        <v>5</v>
      </c>
      <c r="D61" s="12" t="s">
        <v>643</v>
      </c>
      <c r="E61" s="12" t="s">
        <v>414</v>
      </c>
      <c r="F61" s="65">
        <v>44012</v>
      </c>
      <c r="G61" s="65">
        <v>44027</v>
      </c>
      <c r="H61" s="65">
        <v>44032</v>
      </c>
      <c r="I61" s="75">
        <v>0.01</v>
      </c>
      <c r="J61" s="72">
        <v>0.05</v>
      </c>
      <c r="K61" s="67" t="s">
        <v>5</v>
      </c>
    </row>
    <row r="62" spans="1:11" s="174" customFormat="1" ht="26.25" customHeight="1">
      <c r="A62" s="138" t="s">
        <v>46</v>
      </c>
      <c r="B62" s="121">
        <v>42943</v>
      </c>
      <c r="C62" s="143">
        <v>5</v>
      </c>
      <c r="D62" s="144" t="s">
        <v>647</v>
      </c>
      <c r="E62" s="135" t="s">
        <v>414</v>
      </c>
      <c r="F62" s="65">
        <v>44043</v>
      </c>
      <c r="G62" s="65">
        <v>44060</v>
      </c>
      <c r="H62" s="65">
        <v>44063</v>
      </c>
      <c r="I62" s="75">
        <v>0.02</v>
      </c>
      <c r="J62" s="72">
        <v>0.1</v>
      </c>
      <c r="K62" s="97" t="s">
        <v>5</v>
      </c>
    </row>
    <row r="63" spans="1:11" s="174" customFormat="1" ht="26.25" customHeight="1">
      <c r="A63" s="138" t="s">
        <v>64</v>
      </c>
      <c r="B63" s="121">
        <v>43312</v>
      </c>
      <c r="C63" s="143">
        <v>5</v>
      </c>
      <c r="D63" s="144" t="s">
        <v>648</v>
      </c>
      <c r="E63" s="135" t="s">
        <v>414</v>
      </c>
      <c r="F63" s="65">
        <v>44043</v>
      </c>
      <c r="G63" s="65">
        <v>44060</v>
      </c>
      <c r="H63" s="65">
        <v>44063</v>
      </c>
      <c r="I63" s="75">
        <v>0.02</v>
      </c>
      <c r="J63" s="72">
        <v>0.1</v>
      </c>
      <c r="K63" s="97" t="s">
        <v>5</v>
      </c>
    </row>
    <row r="64" spans="1:11" s="174" customFormat="1" ht="26.25" customHeight="1">
      <c r="A64" s="64" t="s">
        <v>82</v>
      </c>
      <c r="B64" s="66">
        <v>42220</v>
      </c>
      <c r="C64" s="71">
        <v>100</v>
      </c>
      <c r="D64" s="68" t="s">
        <v>608</v>
      </c>
      <c r="E64" s="12" t="s">
        <v>414</v>
      </c>
      <c r="F64" s="65">
        <v>44047</v>
      </c>
      <c r="G64" s="65"/>
      <c r="H64" s="65"/>
      <c r="I64" s="75"/>
      <c r="J64" s="72">
        <v>0</v>
      </c>
      <c r="K64" s="67" t="s">
        <v>6</v>
      </c>
    </row>
    <row r="65" spans="1:11" s="174" customFormat="1" ht="26.25" customHeight="1">
      <c r="A65" s="64" t="s">
        <v>317</v>
      </c>
      <c r="B65" s="66">
        <v>43686</v>
      </c>
      <c r="C65" s="71">
        <v>100</v>
      </c>
      <c r="D65" s="68" t="s">
        <v>551</v>
      </c>
      <c r="E65" s="12" t="s">
        <v>414</v>
      </c>
      <c r="F65" s="65">
        <v>44053</v>
      </c>
      <c r="G65" s="65"/>
      <c r="H65" s="65"/>
      <c r="I65" s="75"/>
      <c r="J65" s="72">
        <v>0</v>
      </c>
      <c r="K65" s="67" t="s">
        <v>129</v>
      </c>
    </row>
    <row r="66" spans="1:11" s="174" customFormat="1" ht="26.25" customHeight="1">
      <c r="A66" s="64" t="s">
        <v>319</v>
      </c>
      <c r="B66" s="66">
        <v>43735</v>
      </c>
      <c r="C66" s="71">
        <v>5</v>
      </c>
      <c r="D66" s="68" t="s">
        <v>660</v>
      </c>
      <c r="E66" s="12" t="s">
        <v>414</v>
      </c>
      <c r="F66" s="65">
        <v>44060</v>
      </c>
      <c r="G66" s="65">
        <v>44074</v>
      </c>
      <c r="H66" s="65">
        <v>44077</v>
      </c>
      <c r="I66" s="75">
        <v>0.009</v>
      </c>
      <c r="J66" s="72">
        <v>0.045</v>
      </c>
      <c r="K66" s="67" t="s">
        <v>5</v>
      </c>
    </row>
    <row r="67" spans="1:11" s="174" customFormat="1" ht="26.25" customHeight="1">
      <c r="A67" s="64" t="s">
        <v>320</v>
      </c>
      <c r="B67" s="66">
        <v>43735</v>
      </c>
      <c r="C67" s="71">
        <v>5</v>
      </c>
      <c r="D67" s="68" t="s">
        <v>661</v>
      </c>
      <c r="E67" s="12" t="s">
        <v>414</v>
      </c>
      <c r="F67" s="65">
        <v>44060</v>
      </c>
      <c r="G67" s="65">
        <v>44074</v>
      </c>
      <c r="H67" s="65">
        <v>44077</v>
      </c>
      <c r="I67" s="75">
        <v>0.009</v>
      </c>
      <c r="J67" s="72">
        <v>0.045</v>
      </c>
      <c r="K67" s="67" t="s">
        <v>5</v>
      </c>
    </row>
    <row r="68" spans="1:11" s="174" customFormat="1" ht="26.25" customHeight="1">
      <c r="A68" s="64" t="s">
        <v>23</v>
      </c>
      <c r="B68" s="66">
        <v>42220</v>
      </c>
      <c r="C68" s="71">
        <v>5</v>
      </c>
      <c r="D68" s="68" t="s">
        <v>56</v>
      </c>
      <c r="E68" s="12" t="s">
        <v>414</v>
      </c>
      <c r="F68" s="65">
        <v>44060</v>
      </c>
      <c r="G68" s="65">
        <v>44074</v>
      </c>
      <c r="H68" s="65">
        <v>44077</v>
      </c>
      <c r="I68" s="75">
        <v>0.02</v>
      </c>
      <c r="J68" s="72">
        <v>0.1</v>
      </c>
      <c r="K68" s="67" t="s">
        <v>5</v>
      </c>
    </row>
    <row r="69" spans="1:11" s="174" customFormat="1" ht="26.25" customHeight="1">
      <c r="A69" s="64" t="s">
        <v>32</v>
      </c>
      <c r="B69" s="66">
        <v>42591</v>
      </c>
      <c r="C69" s="71">
        <v>5</v>
      </c>
      <c r="D69" s="68" t="s">
        <v>659</v>
      </c>
      <c r="E69" s="12" t="s">
        <v>414</v>
      </c>
      <c r="F69" s="65">
        <v>44060</v>
      </c>
      <c r="G69" s="65">
        <v>44074</v>
      </c>
      <c r="H69" s="65">
        <v>44077</v>
      </c>
      <c r="I69" s="75">
        <v>0.02</v>
      </c>
      <c r="J69" s="72">
        <v>0.1</v>
      </c>
      <c r="K69" s="67" t="s">
        <v>5</v>
      </c>
    </row>
    <row r="70" spans="1:11" s="174" customFormat="1" ht="26.25" customHeight="1">
      <c r="A70" s="64" t="s">
        <v>179</v>
      </c>
      <c r="B70" s="145">
        <v>43544</v>
      </c>
      <c r="C70" s="71">
        <v>5</v>
      </c>
      <c r="D70" s="12" t="s">
        <v>180</v>
      </c>
      <c r="E70" s="12" t="s">
        <v>410</v>
      </c>
      <c r="F70" s="65">
        <v>44104</v>
      </c>
      <c r="G70" s="65">
        <v>44105</v>
      </c>
      <c r="H70" s="65">
        <v>44110</v>
      </c>
      <c r="I70" s="75">
        <v>0.0045</v>
      </c>
      <c r="J70" s="60">
        <v>0.0057</v>
      </c>
      <c r="K70" s="67" t="s">
        <v>8</v>
      </c>
    </row>
    <row r="71" spans="1:11" s="174" customFormat="1" ht="26.25" customHeight="1">
      <c r="A71" s="64" t="s">
        <v>103</v>
      </c>
      <c r="B71" s="145">
        <v>41281</v>
      </c>
      <c r="C71" s="71">
        <v>5</v>
      </c>
      <c r="D71" s="68" t="s">
        <v>579</v>
      </c>
      <c r="E71" s="12" t="s">
        <v>410</v>
      </c>
      <c r="F71" s="65">
        <v>44104</v>
      </c>
      <c r="G71" s="65">
        <v>44105</v>
      </c>
      <c r="H71" s="65">
        <v>44110</v>
      </c>
      <c r="I71" s="75">
        <v>0.001</v>
      </c>
      <c r="J71" s="60">
        <v>0.0017</v>
      </c>
      <c r="K71" s="67" t="s">
        <v>500</v>
      </c>
    </row>
    <row r="72" spans="1:11" s="174" customFormat="1" ht="26.25" customHeight="1">
      <c r="A72" s="64" t="s">
        <v>104</v>
      </c>
      <c r="B72" s="66">
        <v>41281</v>
      </c>
      <c r="C72" s="71">
        <v>5</v>
      </c>
      <c r="D72" s="68" t="s">
        <v>105</v>
      </c>
      <c r="E72" s="68" t="s">
        <v>410</v>
      </c>
      <c r="F72" s="65">
        <v>44104</v>
      </c>
      <c r="G72" s="65">
        <v>44105</v>
      </c>
      <c r="H72" s="65">
        <v>44110</v>
      </c>
      <c r="I72" s="75">
        <v>0.001</v>
      </c>
      <c r="J72" s="60">
        <v>0.0014</v>
      </c>
      <c r="K72" s="67" t="s">
        <v>500</v>
      </c>
    </row>
    <row r="73" spans="1:11" s="174" customFormat="1" ht="26.25" customHeight="1">
      <c r="A73" s="64" t="s">
        <v>106</v>
      </c>
      <c r="B73" s="66">
        <v>41281</v>
      </c>
      <c r="C73" s="71">
        <v>5</v>
      </c>
      <c r="D73" s="68" t="s">
        <v>580</v>
      </c>
      <c r="E73" s="12" t="s">
        <v>410</v>
      </c>
      <c r="F73" s="65">
        <v>44104</v>
      </c>
      <c r="G73" s="65">
        <v>44105</v>
      </c>
      <c r="H73" s="65">
        <v>44110</v>
      </c>
      <c r="I73" s="75">
        <v>0.001</v>
      </c>
      <c r="J73" s="60">
        <v>0.0015</v>
      </c>
      <c r="K73" s="67" t="s">
        <v>500</v>
      </c>
    </row>
    <row r="74" spans="1:11" s="174" customFormat="1" ht="26.25" customHeight="1">
      <c r="A74" s="64" t="s">
        <v>66</v>
      </c>
      <c r="B74" s="66">
        <v>43371</v>
      </c>
      <c r="C74" s="71">
        <v>5</v>
      </c>
      <c r="D74" s="68" t="s">
        <v>664</v>
      </c>
      <c r="E74" s="12" t="s">
        <v>414</v>
      </c>
      <c r="F74" s="65">
        <v>44104</v>
      </c>
      <c r="G74" s="65">
        <v>44119</v>
      </c>
      <c r="H74" s="65">
        <v>44124</v>
      </c>
      <c r="I74" s="75">
        <v>0.017</v>
      </c>
      <c r="J74" s="60">
        <v>0.085</v>
      </c>
      <c r="K74" s="67" t="s">
        <v>5</v>
      </c>
    </row>
    <row r="75" spans="1:11" s="174" customFormat="1" ht="26.25" customHeight="1">
      <c r="A75" s="64" t="s">
        <v>24</v>
      </c>
      <c r="B75" s="66">
        <v>42276</v>
      </c>
      <c r="C75" s="71">
        <v>5</v>
      </c>
      <c r="D75" s="68" t="s">
        <v>52</v>
      </c>
      <c r="E75" s="12" t="s">
        <v>414</v>
      </c>
      <c r="F75" s="65">
        <v>44104</v>
      </c>
      <c r="G75" s="65">
        <v>44119</v>
      </c>
      <c r="H75" s="65">
        <v>44124</v>
      </c>
      <c r="I75" s="75">
        <v>0.02</v>
      </c>
      <c r="J75" s="60">
        <v>0.1</v>
      </c>
      <c r="K75" s="67" t="s">
        <v>5</v>
      </c>
    </row>
    <row r="76" spans="1:11" s="174" customFormat="1" ht="26.25" customHeight="1">
      <c r="A76" s="64" t="s">
        <v>33</v>
      </c>
      <c r="B76" s="66">
        <v>42643</v>
      </c>
      <c r="C76" s="71">
        <v>5</v>
      </c>
      <c r="D76" s="68" t="s">
        <v>663</v>
      </c>
      <c r="E76" s="12" t="s">
        <v>414</v>
      </c>
      <c r="F76" s="65">
        <v>44104</v>
      </c>
      <c r="G76" s="65">
        <v>44119</v>
      </c>
      <c r="H76" s="65">
        <v>44124</v>
      </c>
      <c r="I76" s="75">
        <v>0.02</v>
      </c>
      <c r="J76" s="60">
        <v>0.1</v>
      </c>
      <c r="K76" s="67" t="s">
        <v>5</v>
      </c>
    </row>
    <row r="77" spans="1:11" s="174" customFormat="1" ht="26.25" customHeight="1">
      <c r="A77" s="64" t="s">
        <v>47</v>
      </c>
      <c r="B77" s="66">
        <v>43007</v>
      </c>
      <c r="C77" s="71">
        <v>5</v>
      </c>
      <c r="D77" s="68" t="s">
        <v>662</v>
      </c>
      <c r="E77" s="12" t="s">
        <v>414</v>
      </c>
      <c r="F77" s="65">
        <v>44104</v>
      </c>
      <c r="G77" s="65">
        <v>44119</v>
      </c>
      <c r="H77" s="65">
        <v>44124</v>
      </c>
      <c r="I77" s="75">
        <v>0.02</v>
      </c>
      <c r="J77" s="60">
        <v>0.1</v>
      </c>
      <c r="K77" s="67" t="s">
        <v>5</v>
      </c>
    </row>
    <row r="78" spans="1:11" s="174" customFormat="1" ht="26.25" customHeight="1">
      <c r="A78" s="64" t="s">
        <v>65</v>
      </c>
      <c r="B78" s="66">
        <v>43371</v>
      </c>
      <c r="C78" s="71">
        <v>5</v>
      </c>
      <c r="D78" s="68" t="s">
        <v>665</v>
      </c>
      <c r="E78" s="12" t="s">
        <v>414</v>
      </c>
      <c r="F78" s="65">
        <v>44104</v>
      </c>
      <c r="G78" s="65">
        <v>44119</v>
      </c>
      <c r="H78" s="65">
        <v>44124</v>
      </c>
      <c r="I78" s="75">
        <v>0.02</v>
      </c>
      <c r="J78" s="60">
        <v>0.1</v>
      </c>
      <c r="K78" s="67" t="s">
        <v>5</v>
      </c>
    </row>
    <row r="79" spans="1:11" s="174" customFormat="1" ht="26.25" customHeight="1">
      <c r="A79" s="64" t="s">
        <v>322</v>
      </c>
      <c r="B79" s="66">
        <v>43735</v>
      </c>
      <c r="C79" s="71">
        <v>5</v>
      </c>
      <c r="D79" s="178" t="s">
        <v>585</v>
      </c>
      <c r="E79" s="12" t="s">
        <v>422</v>
      </c>
      <c r="F79" s="65">
        <v>44104</v>
      </c>
      <c r="G79" s="65">
        <v>44119</v>
      </c>
      <c r="H79" s="65">
        <v>44124</v>
      </c>
      <c r="I79" s="75" t="s">
        <v>567</v>
      </c>
      <c r="J79" s="60">
        <v>0.1685</v>
      </c>
      <c r="K79" s="67" t="s">
        <v>328</v>
      </c>
    </row>
    <row r="80" spans="1:11" s="179" customFormat="1" ht="22.5" customHeight="1">
      <c r="A80" s="64" t="s">
        <v>323</v>
      </c>
      <c r="B80" s="66">
        <v>43735</v>
      </c>
      <c r="C80" s="71">
        <v>5</v>
      </c>
      <c r="D80" s="178" t="s">
        <v>584</v>
      </c>
      <c r="E80" s="12" t="s">
        <v>414</v>
      </c>
      <c r="F80" s="65">
        <v>44104</v>
      </c>
      <c r="G80" s="65">
        <v>44119</v>
      </c>
      <c r="H80" s="65">
        <v>44124</v>
      </c>
      <c r="I80" s="75">
        <v>0.0155</v>
      </c>
      <c r="J80" s="60">
        <v>0.0775</v>
      </c>
      <c r="K80" s="67" t="s">
        <v>328</v>
      </c>
    </row>
    <row r="81" spans="1:11" s="174" customFormat="1" ht="26.25" customHeight="1">
      <c r="A81" s="64" t="s">
        <v>321</v>
      </c>
      <c r="B81" s="66">
        <v>43735</v>
      </c>
      <c r="C81" s="71">
        <v>5</v>
      </c>
      <c r="D81" s="178" t="s">
        <v>586</v>
      </c>
      <c r="E81" s="12" t="s">
        <v>422</v>
      </c>
      <c r="F81" s="65">
        <v>44104</v>
      </c>
      <c r="G81" s="65">
        <v>44119</v>
      </c>
      <c r="H81" s="65">
        <v>44124</v>
      </c>
      <c r="I81" s="75" t="s">
        <v>568</v>
      </c>
      <c r="J81" s="60">
        <v>0.1778</v>
      </c>
      <c r="K81" s="67" t="s">
        <v>328</v>
      </c>
    </row>
    <row r="82" spans="1:11" s="177" customFormat="1" ht="22.5" customHeight="1">
      <c r="A82" s="64" t="s">
        <v>48</v>
      </c>
      <c r="B82" s="66">
        <v>43035</v>
      </c>
      <c r="C82" s="71">
        <v>5</v>
      </c>
      <c r="D82" s="68" t="s">
        <v>666</v>
      </c>
      <c r="E82" s="12" t="s">
        <v>414</v>
      </c>
      <c r="F82" s="65">
        <v>44134</v>
      </c>
      <c r="G82" s="65">
        <v>44151</v>
      </c>
      <c r="H82" s="65">
        <v>44154</v>
      </c>
      <c r="I82" s="75">
        <v>0.02</v>
      </c>
      <c r="J82" s="72">
        <v>0.1</v>
      </c>
      <c r="K82" s="97" t="s">
        <v>5</v>
      </c>
    </row>
    <row r="83" spans="1:11" s="181" customFormat="1" ht="26.25" customHeight="1">
      <c r="A83" s="64" t="s">
        <v>83</v>
      </c>
      <c r="B83" s="66">
        <v>41858</v>
      </c>
      <c r="C83" s="71">
        <v>100</v>
      </c>
      <c r="D83" s="68" t="s">
        <v>572</v>
      </c>
      <c r="E83" s="12" t="s">
        <v>414</v>
      </c>
      <c r="F83" s="65">
        <v>44141</v>
      </c>
      <c r="G83" s="65">
        <v>44144</v>
      </c>
      <c r="H83" s="65">
        <v>44147</v>
      </c>
      <c r="I83" s="75"/>
      <c r="J83" s="72">
        <v>0.532</v>
      </c>
      <c r="K83" s="67" t="s">
        <v>6</v>
      </c>
    </row>
    <row r="84" spans="1:11" s="181" customFormat="1" ht="26.25" customHeight="1">
      <c r="A84" s="64" t="s">
        <v>325</v>
      </c>
      <c r="B84" s="66">
        <v>43769</v>
      </c>
      <c r="C84" s="71">
        <v>5</v>
      </c>
      <c r="D84" s="180" t="s">
        <v>670</v>
      </c>
      <c r="E84" s="12" t="s">
        <v>414</v>
      </c>
      <c r="F84" s="65">
        <v>44151</v>
      </c>
      <c r="G84" s="65">
        <v>44165</v>
      </c>
      <c r="H84" s="65">
        <v>44168</v>
      </c>
      <c r="I84" s="75">
        <v>0.01</v>
      </c>
      <c r="J84" s="72">
        <v>0.05</v>
      </c>
      <c r="K84" s="67" t="s">
        <v>329</v>
      </c>
    </row>
    <row r="85" spans="1:11" s="181" customFormat="1" ht="26.25" customHeight="1">
      <c r="A85" s="64" t="s">
        <v>324</v>
      </c>
      <c r="B85" s="66">
        <v>43769</v>
      </c>
      <c r="C85" s="71">
        <v>5</v>
      </c>
      <c r="D85" s="180" t="s">
        <v>669</v>
      </c>
      <c r="E85" s="12" t="s">
        <v>422</v>
      </c>
      <c r="F85" s="65">
        <v>44151</v>
      </c>
      <c r="G85" s="65">
        <v>44165</v>
      </c>
      <c r="H85" s="65">
        <v>44168</v>
      </c>
      <c r="I85" s="65" t="s">
        <v>674</v>
      </c>
      <c r="J85" s="147">
        <v>0.172</v>
      </c>
      <c r="K85" s="67" t="s">
        <v>329</v>
      </c>
    </row>
    <row r="86" spans="1:11" s="174" customFormat="1" ht="26.25" customHeight="1">
      <c r="A86" s="64" t="s">
        <v>326</v>
      </c>
      <c r="B86" s="66">
        <v>43769</v>
      </c>
      <c r="C86" s="71">
        <v>5</v>
      </c>
      <c r="D86" s="180" t="s">
        <v>668</v>
      </c>
      <c r="E86" s="12" t="s">
        <v>422</v>
      </c>
      <c r="F86" s="65">
        <v>44151</v>
      </c>
      <c r="G86" s="65">
        <v>44165</v>
      </c>
      <c r="H86" s="65">
        <v>44168</v>
      </c>
      <c r="I86" s="182" t="s">
        <v>526</v>
      </c>
      <c r="J86" s="148">
        <v>0.1628</v>
      </c>
      <c r="K86" s="67" t="s">
        <v>329</v>
      </c>
    </row>
    <row r="87" spans="1:11" s="174" customFormat="1" ht="26.25" customHeight="1">
      <c r="A87" s="64" t="s">
        <v>67</v>
      </c>
      <c r="B87" s="66">
        <v>43404</v>
      </c>
      <c r="C87" s="71">
        <v>5</v>
      </c>
      <c r="D87" s="68" t="s">
        <v>667</v>
      </c>
      <c r="E87" s="12" t="s">
        <v>414</v>
      </c>
      <c r="F87" s="65">
        <v>44151</v>
      </c>
      <c r="G87" s="65">
        <v>44165</v>
      </c>
      <c r="H87" s="65">
        <v>44168</v>
      </c>
      <c r="I87" s="75">
        <v>0.02</v>
      </c>
      <c r="J87" s="72">
        <v>0.1</v>
      </c>
      <c r="K87" s="67" t="s">
        <v>5</v>
      </c>
    </row>
    <row r="88" spans="1:11" s="174" customFormat="1" ht="26.25" customHeight="1">
      <c r="A88" s="64" t="s">
        <v>25</v>
      </c>
      <c r="B88" s="66">
        <v>42317</v>
      </c>
      <c r="C88" s="71">
        <v>5</v>
      </c>
      <c r="D88" s="68" t="s">
        <v>57</v>
      </c>
      <c r="E88" s="12" t="s">
        <v>414</v>
      </c>
      <c r="F88" s="65">
        <v>44151</v>
      </c>
      <c r="G88" s="65">
        <v>44165</v>
      </c>
      <c r="H88" s="65">
        <v>44168</v>
      </c>
      <c r="I88" s="75">
        <v>0.02</v>
      </c>
      <c r="J88" s="72">
        <v>0.1</v>
      </c>
      <c r="K88" s="67" t="s">
        <v>5</v>
      </c>
    </row>
    <row r="89" spans="1:11" s="174" customFormat="1" ht="26.25" customHeight="1">
      <c r="A89" s="64" t="s">
        <v>34</v>
      </c>
      <c r="B89" s="66">
        <v>42682</v>
      </c>
      <c r="C89" s="71">
        <v>5</v>
      </c>
      <c r="D89" s="68" t="s">
        <v>671</v>
      </c>
      <c r="E89" s="12" t="s">
        <v>414</v>
      </c>
      <c r="F89" s="65">
        <v>44151</v>
      </c>
      <c r="G89" s="65">
        <v>44165</v>
      </c>
      <c r="H89" s="65">
        <v>44168</v>
      </c>
      <c r="I89" s="75">
        <v>0.02</v>
      </c>
      <c r="J89" s="72">
        <v>0.1</v>
      </c>
      <c r="K89" s="67" t="s">
        <v>5</v>
      </c>
    </row>
    <row r="90" spans="1:11" s="174" customFormat="1" ht="26.25" customHeight="1">
      <c r="A90" s="64" t="s">
        <v>84</v>
      </c>
      <c r="B90" s="66">
        <v>41912</v>
      </c>
      <c r="C90" s="71">
        <v>100</v>
      </c>
      <c r="D90" s="68" t="s">
        <v>573</v>
      </c>
      <c r="E90" s="12" t="s">
        <v>414</v>
      </c>
      <c r="F90" s="65">
        <v>44165</v>
      </c>
      <c r="G90" s="65">
        <v>44166</v>
      </c>
      <c r="H90" s="65">
        <v>44169</v>
      </c>
      <c r="I90" s="75"/>
      <c r="J90" s="60">
        <v>0.3867</v>
      </c>
      <c r="K90" s="67" t="s">
        <v>6</v>
      </c>
    </row>
    <row r="91" spans="1:11" s="174" customFormat="1" ht="22.5" customHeight="1">
      <c r="A91" s="64" t="s">
        <v>331</v>
      </c>
      <c r="B91" s="66">
        <v>43798</v>
      </c>
      <c r="C91" s="71">
        <v>5</v>
      </c>
      <c r="D91" s="180" t="s">
        <v>679</v>
      </c>
      <c r="E91" s="12" t="s">
        <v>414</v>
      </c>
      <c r="F91" s="65">
        <v>44165</v>
      </c>
      <c r="G91" s="65">
        <v>44180</v>
      </c>
      <c r="H91" s="65">
        <v>44183</v>
      </c>
      <c r="I91" s="75">
        <v>0.011</v>
      </c>
      <c r="J91" s="72">
        <v>0.055</v>
      </c>
      <c r="K91" s="67" t="s">
        <v>329</v>
      </c>
    </row>
    <row r="92" spans="1:11" s="181" customFormat="1" ht="26.25" customHeight="1">
      <c r="A92" s="64" t="s">
        <v>332</v>
      </c>
      <c r="B92" s="66">
        <v>43798</v>
      </c>
      <c r="C92" s="71">
        <v>5</v>
      </c>
      <c r="D92" s="180" t="s">
        <v>672</v>
      </c>
      <c r="E92" s="12" t="s">
        <v>422</v>
      </c>
      <c r="F92" s="65">
        <v>44165</v>
      </c>
      <c r="G92" s="65">
        <v>44180</v>
      </c>
      <c r="H92" s="65">
        <v>44183</v>
      </c>
      <c r="I92" s="75" t="s">
        <v>675</v>
      </c>
      <c r="J92" s="72">
        <v>0.161</v>
      </c>
      <c r="K92" s="67" t="s">
        <v>329</v>
      </c>
    </row>
    <row r="93" spans="1:11" s="181" customFormat="1" ht="26.25" customHeight="1">
      <c r="A93" s="64" t="s">
        <v>330</v>
      </c>
      <c r="B93" s="66">
        <v>43798</v>
      </c>
      <c r="C93" s="71">
        <v>5</v>
      </c>
      <c r="D93" s="180" t="s">
        <v>677</v>
      </c>
      <c r="E93" s="12" t="s">
        <v>422</v>
      </c>
      <c r="F93" s="65">
        <v>44165</v>
      </c>
      <c r="G93" s="65">
        <v>44180</v>
      </c>
      <c r="H93" s="65">
        <v>44183</v>
      </c>
      <c r="I93" s="75" t="s">
        <v>676</v>
      </c>
      <c r="J93" s="60">
        <v>0.1701</v>
      </c>
      <c r="K93" s="67" t="s">
        <v>329</v>
      </c>
    </row>
    <row r="94" spans="1:11" s="174" customFormat="1" ht="26.25" customHeight="1">
      <c r="A94" s="64" t="s">
        <v>69</v>
      </c>
      <c r="B94" s="66">
        <v>43434</v>
      </c>
      <c r="C94" s="71">
        <v>5.2</v>
      </c>
      <c r="D94" s="68" t="s">
        <v>680</v>
      </c>
      <c r="E94" s="12" t="s">
        <v>414</v>
      </c>
      <c r="F94" s="65">
        <v>44165</v>
      </c>
      <c r="G94" s="65">
        <v>44180</v>
      </c>
      <c r="H94" s="65">
        <v>44183</v>
      </c>
      <c r="I94" s="75">
        <v>0.017</v>
      </c>
      <c r="J94" s="72">
        <v>0.085</v>
      </c>
      <c r="K94" s="67" t="s">
        <v>5</v>
      </c>
    </row>
    <row r="95" spans="1:11" s="174" customFormat="1" ht="26.25" customHeight="1">
      <c r="A95" s="64" t="s">
        <v>85</v>
      </c>
      <c r="B95" s="66">
        <v>41954</v>
      </c>
      <c r="C95" s="71">
        <v>100</v>
      </c>
      <c r="D95" s="68" t="s">
        <v>574</v>
      </c>
      <c r="E95" s="12" t="s">
        <v>414</v>
      </c>
      <c r="F95" s="65">
        <v>44176</v>
      </c>
      <c r="G95" s="65"/>
      <c r="H95" s="65"/>
      <c r="I95" s="75"/>
      <c r="J95" s="72">
        <v>0</v>
      </c>
      <c r="K95" s="67" t="s">
        <v>6</v>
      </c>
    </row>
    <row r="96" spans="1:11" s="174" customFormat="1" ht="26.25" customHeight="1">
      <c r="A96" s="64" t="s">
        <v>35</v>
      </c>
      <c r="B96" s="66">
        <v>42720</v>
      </c>
      <c r="C96" s="71">
        <v>5</v>
      </c>
      <c r="D96" s="68" t="s">
        <v>682</v>
      </c>
      <c r="E96" s="12" t="s">
        <v>414</v>
      </c>
      <c r="F96" s="65">
        <v>44180</v>
      </c>
      <c r="G96" s="65">
        <v>44196</v>
      </c>
      <c r="H96" s="65">
        <v>44202</v>
      </c>
      <c r="I96" s="75">
        <v>0.02</v>
      </c>
      <c r="J96" s="72">
        <v>0.1</v>
      </c>
      <c r="K96" s="67" t="s">
        <v>5</v>
      </c>
    </row>
    <row r="97" spans="1:11" s="174" customFormat="1" ht="26.25" customHeight="1">
      <c r="A97" s="134" t="s">
        <v>49</v>
      </c>
      <c r="B97" s="184">
        <v>43084</v>
      </c>
      <c r="C97" s="137">
        <v>5</v>
      </c>
      <c r="D97" s="144" t="s">
        <v>681</v>
      </c>
      <c r="E97" s="144" t="s">
        <v>414</v>
      </c>
      <c r="F97" s="65">
        <v>44180</v>
      </c>
      <c r="G97" s="65">
        <v>44196</v>
      </c>
      <c r="H97" s="65">
        <v>44202</v>
      </c>
      <c r="I97" s="75">
        <v>0.02</v>
      </c>
      <c r="J97" s="72">
        <v>0.1</v>
      </c>
      <c r="K97" s="63" t="s">
        <v>5</v>
      </c>
    </row>
    <row r="98" spans="1:11" s="174" customFormat="1" ht="26.25" customHeight="1">
      <c r="A98" s="64" t="s">
        <v>86</v>
      </c>
      <c r="B98" s="66">
        <v>41991</v>
      </c>
      <c r="C98" s="71">
        <v>100</v>
      </c>
      <c r="D98" s="68" t="s">
        <v>575</v>
      </c>
      <c r="E98" s="12" t="s">
        <v>414</v>
      </c>
      <c r="F98" s="65">
        <v>44183</v>
      </c>
      <c r="G98" s="65"/>
      <c r="H98" s="65"/>
      <c r="I98" s="75"/>
      <c r="J98" s="72">
        <v>0</v>
      </c>
      <c r="K98" s="67" t="s">
        <v>6</v>
      </c>
    </row>
    <row r="99" spans="1:11" s="174" customFormat="1" ht="26.25" customHeight="1">
      <c r="A99" s="64" t="s">
        <v>50</v>
      </c>
      <c r="B99" s="66">
        <v>42724</v>
      </c>
      <c r="C99" s="71">
        <v>50</v>
      </c>
      <c r="D99" s="68" t="s">
        <v>587</v>
      </c>
      <c r="E99" s="12" t="s">
        <v>414</v>
      </c>
      <c r="F99" s="65">
        <v>44186</v>
      </c>
      <c r="G99" s="65">
        <v>44187</v>
      </c>
      <c r="H99" s="65">
        <v>44194</v>
      </c>
      <c r="I99" s="75">
        <v>0.025</v>
      </c>
      <c r="J99" s="72">
        <v>1.25</v>
      </c>
      <c r="K99" s="67"/>
    </row>
    <row r="100" spans="1:11" s="174" customFormat="1" ht="26.25" customHeight="1">
      <c r="A100" s="64" t="s">
        <v>179</v>
      </c>
      <c r="B100" s="66">
        <v>43544</v>
      </c>
      <c r="C100" s="71">
        <v>5</v>
      </c>
      <c r="D100" s="68" t="s">
        <v>180</v>
      </c>
      <c r="E100" s="12" t="s">
        <v>410</v>
      </c>
      <c r="F100" s="65">
        <v>44196</v>
      </c>
      <c r="G100" s="65">
        <v>44200</v>
      </c>
      <c r="H100" s="65">
        <v>44203</v>
      </c>
      <c r="I100" s="75">
        <v>0.0045</v>
      </c>
      <c r="J100" s="60">
        <v>0.0057</v>
      </c>
      <c r="K100" s="67" t="s">
        <v>8</v>
      </c>
    </row>
    <row r="101" spans="1:11" s="181" customFormat="1" ht="22.5" customHeight="1">
      <c r="A101" s="64" t="s">
        <v>103</v>
      </c>
      <c r="B101" s="66">
        <v>41281</v>
      </c>
      <c r="C101" s="71">
        <v>5</v>
      </c>
      <c r="D101" s="68" t="s">
        <v>579</v>
      </c>
      <c r="E101" s="68" t="s">
        <v>410</v>
      </c>
      <c r="F101" s="65">
        <v>44196</v>
      </c>
      <c r="G101" s="65">
        <v>44200</v>
      </c>
      <c r="H101" s="65">
        <v>44203</v>
      </c>
      <c r="I101" s="75">
        <v>0.001</v>
      </c>
      <c r="J101" s="60">
        <v>0.0017</v>
      </c>
      <c r="K101" s="97" t="s">
        <v>500</v>
      </c>
    </row>
    <row r="102" spans="1:11" s="181" customFormat="1" ht="22.5" customHeight="1">
      <c r="A102" s="64" t="s">
        <v>106</v>
      </c>
      <c r="B102" s="66">
        <v>41281</v>
      </c>
      <c r="C102" s="71">
        <v>5</v>
      </c>
      <c r="D102" s="68" t="s">
        <v>580</v>
      </c>
      <c r="E102" s="68" t="s">
        <v>410</v>
      </c>
      <c r="F102" s="65">
        <v>44196</v>
      </c>
      <c r="G102" s="65">
        <v>44200</v>
      </c>
      <c r="H102" s="65">
        <v>44203</v>
      </c>
      <c r="I102" s="75">
        <v>0.001</v>
      </c>
      <c r="J102" s="60">
        <v>0.0015</v>
      </c>
      <c r="K102" s="67" t="s">
        <v>500</v>
      </c>
    </row>
    <row r="103" spans="1:11" s="177" customFormat="1" ht="22.5" customHeight="1">
      <c r="A103" s="64" t="s">
        <v>26</v>
      </c>
      <c r="B103" s="66">
        <v>42355</v>
      </c>
      <c r="C103" s="71">
        <v>5</v>
      </c>
      <c r="D103" s="68" t="s">
        <v>593</v>
      </c>
      <c r="E103" s="12" t="s">
        <v>414</v>
      </c>
      <c r="F103" s="65">
        <v>44196</v>
      </c>
      <c r="G103" s="65">
        <v>44211</v>
      </c>
      <c r="H103" s="65">
        <v>44216</v>
      </c>
      <c r="I103" s="170">
        <v>0.02</v>
      </c>
      <c r="J103" s="72">
        <v>0.1</v>
      </c>
      <c r="K103" s="67" t="s">
        <v>5</v>
      </c>
    </row>
    <row r="104" spans="1:11" s="177" customFormat="1" ht="22.5" customHeight="1">
      <c r="A104" s="64" t="s">
        <v>68</v>
      </c>
      <c r="B104" s="66">
        <v>43454</v>
      </c>
      <c r="C104" s="71">
        <v>5</v>
      </c>
      <c r="D104" s="68" t="s">
        <v>594</v>
      </c>
      <c r="E104" s="12" t="s">
        <v>414</v>
      </c>
      <c r="F104" s="65">
        <v>44196</v>
      </c>
      <c r="G104" s="65">
        <v>44211</v>
      </c>
      <c r="H104" s="65">
        <v>44216</v>
      </c>
      <c r="I104" s="170">
        <v>0.02</v>
      </c>
      <c r="J104" s="72">
        <v>0.1</v>
      </c>
      <c r="K104" s="67" t="s">
        <v>5</v>
      </c>
    </row>
    <row r="105" spans="1:11" s="181" customFormat="1" ht="26.25" customHeight="1">
      <c r="A105" s="64" t="s">
        <v>523</v>
      </c>
      <c r="B105" s="66">
        <v>43819</v>
      </c>
      <c r="C105" s="71">
        <v>5</v>
      </c>
      <c r="D105" s="180" t="s">
        <v>595</v>
      </c>
      <c r="E105" s="12" t="s">
        <v>414</v>
      </c>
      <c r="F105" s="171" t="s">
        <v>598</v>
      </c>
      <c r="G105" s="171" t="s">
        <v>596</v>
      </c>
      <c r="H105" s="171" t="s">
        <v>597</v>
      </c>
      <c r="I105" s="75">
        <v>0.008</v>
      </c>
      <c r="J105" s="147" t="s">
        <v>599</v>
      </c>
      <c r="K105" s="67" t="s">
        <v>5</v>
      </c>
    </row>
    <row r="106" spans="1:11" s="181" customFormat="1" ht="26.25" customHeight="1">
      <c r="A106" s="64" t="s">
        <v>609</v>
      </c>
      <c r="B106" s="66">
        <v>43100</v>
      </c>
      <c r="C106" s="71">
        <v>50</v>
      </c>
      <c r="D106" s="180" t="s">
        <v>610</v>
      </c>
      <c r="E106" s="12" t="s">
        <v>414</v>
      </c>
      <c r="F106" s="65">
        <v>44214</v>
      </c>
      <c r="G106" s="65">
        <v>44215</v>
      </c>
      <c r="H106" s="65">
        <v>44218</v>
      </c>
      <c r="I106" s="182">
        <v>0.02</v>
      </c>
      <c r="J106" s="72">
        <v>1</v>
      </c>
      <c r="K106" s="67"/>
    </row>
    <row r="107" spans="1:11" s="177" customFormat="1" ht="22.5" customHeight="1">
      <c r="A107" s="64" t="s">
        <v>527</v>
      </c>
      <c r="B107" s="66">
        <v>43875</v>
      </c>
      <c r="C107" s="71">
        <v>100</v>
      </c>
      <c r="D107" s="180" t="s">
        <v>534</v>
      </c>
      <c r="E107" s="12" t="s">
        <v>414</v>
      </c>
      <c r="F107" s="65">
        <v>44243</v>
      </c>
      <c r="G107" s="65">
        <v>44244</v>
      </c>
      <c r="H107" s="65">
        <v>44249</v>
      </c>
      <c r="I107" s="200"/>
      <c r="J107" s="72">
        <v>0</v>
      </c>
      <c r="K107" s="97" t="s">
        <v>129</v>
      </c>
    </row>
    <row r="108" spans="1:11" s="177" customFormat="1" ht="22.5" customHeight="1">
      <c r="A108" s="64" t="s">
        <v>78</v>
      </c>
      <c r="B108" s="66">
        <v>42787</v>
      </c>
      <c r="C108" s="71">
        <v>100</v>
      </c>
      <c r="D108" s="68" t="s">
        <v>600</v>
      </c>
      <c r="E108" s="12" t="s">
        <v>414</v>
      </c>
      <c r="F108" s="65">
        <v>44249</v>
      </c>
      <c r="G108" s="65">
        <v>44250</v>
      </c>
      <c r="H108" s="65">
        <v>44253</v>
      </c>
      <c r="I108" s="75"/>
      <c r="J108" s="72">
        <v>0</v>
      </c>
      <c r="K108" s="67" t="s">
        <v>6</v>
      </c>
    </row>
    <row r="109" spans="1:11" s="177" customFormat="1" ht="22.5" customHeight="1">
      <c r="A109" s="64" t="s">
        <v>501</v>
      </c>
      <c r="B109" s="66">
        <v>43518</v>
      </c>
      <c r="C109" s="71">
        <v>100</v>
      </c>
      <c r="D109" s="68" t="s">
        <v>555</v>
      </c>
      <c r="E109" s="12" t="s">
        <v>414</v>
      </c>
      <c r="F109" s="65">
        <v>44249</v>
      </c>
      <c r="G109" s="65">
        <v>44250</v>
      </c>
      <c r="H109" s="65">
        <v>44253</v>
      </c>
      <c r="I109" s="75"/>
      <c r="J109" s="72">
        <v>0</v>
      </c>
      <c r="K109" s="67" t="s">
        <v>6</v>
      </c>
    </row>
    <row r="110" spans="1:11" s="177" customFormat="1" ht="22.5" customHeight="1">
      <c r="A110" s="64" t="s">
        <v>528</v>
      </c>
      <c r="B110" s="66">
        <v>43861</v>
      </c>
      <c r="C110" s="71">
        <v>5</v>
      </c>
      <c r="D110" s="180" t="s">
        <v>613</v>
      </c>
      <c r="E110" s="12" t="s">
        <v>414</v>
      </c>
      <c r="F110" s="65">
        <v>44242</v>
      </c>
      <c r="G110" s="65">
        <v>44253</v>
      </c>
      <c r="H110" s="65">
        <v>44258</v>
      </c>
      <c r="I110" s="182">
        <v>0.01</v>
      </c>
      <c r="J110" s="72">
        <v>0.05</v>
      </c>
      <c r="K110" s="67" t="s">
        <v>329</v>
      </c>
    </row>
    <row r="111" spans="1:11" s="177" customFormat="1" ht="22.5" customHeight="1">
      <c r="A111" s="64" t="s">
        <v>529</v>
      </c>
      <c r="B111" s="66">
        <v>43861</v>
      </c>
      <c r="C111" s="71">
        <v>5</v>
      </c>
      <c r="D111" s="180" t="s">
        <v>614</v>
      </c>
      <c r="E111" s="12" t="s">
        <v>422</v>
      </c>
      <c r="F111" s="65">
        <v>44242</v>
      </c>
      <c r="G111" s="65">
        <v>44253</v>
      </c>
      <c r="H111" s="65">
        <v>44258</v>
      </c>
      <c r="I111" s="182" t="s">
        <v>531</v>
      </c>
      <c r="J111" s="72">
        <v>0.1484</v>
      </c>
      <c r="K111" s="67" t="s">
        <v>329</v>
      </c>
    </row>
    <row r="112" spans="1:11" s="177" customFormat="1" ht="22.5" customHeight="1">
      <c r="A112" s="64" t="s">
        <v>530</v>
      </c>
      <c r="B112" s="66">
        <v>43861</v>
      </c>
      <c r="C112" s="71">
        <v>5</v>
      </c>
      <c r="D112" s="180" t="s">
        <v>615</v>
      </c>
      <c r="E112" s="12" t="s">
        <v>422</v>
      </c>
      <c r="F112" s="65">
        <v>44242</v>
      </c>
      <c r="G112" s="65">
        <v>44253</v>
      </c>
      <c r="H112" s="65">
        <v>44258</v>
      </c>
      <c r="I112" s="182" t="s">
        <v>532</v>
      </c>
      <c r="J112" s="201">
        <v>0.1575</v>
      </c>
      <c r="K112" s="67" t="s">
        <v>329</v>
      </c>
    </row>
    <row r="113" spans="1:11" s="181" customFormat="1" ht="22.5" customHeight="1">
      <c r="A113" s="64" t="s">
        <v>533</v>
      </c>
      <c r="B113" s="66">
        <v>43875</v>
      </c>
      <c r="C113" s="71">
        <v>5</v>
      </c>
      <c r="D113" s="180" t="s">
        <v>617</v>
      </c>
      <c r="E113" s="12" t="s">
        <v>414</v>
      </c>
      <c r="F113" s="65">
        <v>44242</v>
      </c>
      <c r="G113" s="65">
        <v>44253</v>
      </c>
      <c r="H113" s="65">
        <v>44258</v>
      </c>
      <c r="I113" s="182">
        <v>0.008</v>
      </c>
      <c r="J113" s="72">
        <v>0.04</v>
      </c>
      <c r="K113" s="67" t="s">
        <v>5</v>
      </c>
    </row>
    <row r="114" spans="1:11" s="181" customFormat="1" ht="22.5" customHeight="1">
      <c r="A114" s="64" t="s">
        <v>59</v>
      </c>
      <c r="B114" s="66">
        <v>43131</v>
      </c>
      <c r="C114" s="71">
        <v>5</v>
      </c>
      <c r="D114" s="68" t="s">
        <v>611</v>
      </c>
      <c r="E114" s="12" t="s">
        <v>414</v>
      </c>
      <c r="F114" s="65">
        <v>44242</v>
      </c>
      <c r="G114" s="65">
        <v>44253</v>
      </c>
      <c r="H114" s="65">
        <v>44258</v>
      </c>
      <c r="I114" s="75">
        <v>0.02</v>
      </c>
      <c r="J114" s="72">
        <v>0.1</v>
      </c>
      <c r="K114" s="67" t="s">
        <v>5</v>
      </c>
    </row>
    <row r="115" spans="1:11" s="181" customFormat="1" ht="22.5" customHeight="1">
      <c r="A115" s="64" t="s">
        <v>217</v>
      </c>
      <c r="B115" s="66">
        <v>43131</v>
      </c>
      <c r="C115" s="71">
        <v>5</v>
      </c>
      <c r="D115" s="68" t="s">
        <v>612</v>
      </c>
      <c r="E115" s="12" t="s">
        <v>414</v>
      </c>
      <c r="F115" s="65">
        <v>44242</v>
      </c>
      <c r="G115" s="65">
        <v>44253</v>
      </c>
      <c r="H115" s="65">
        <v>44258</v>
      </c>
      <c r="I115" s="75">
        <v>0.02</v>
      </c>
      <c r="J115" s="72">
        <v>0.1</v>
      </c>
      <c r="K115" s="67" t="s">
        <v>5</v>
      </c>
    </row>
    <row r="116" spans="1:11" s="177" customFormat="1" ht="22.5" customHeight="1">
      <c r="A116" s="64" t="s">
        <v>117</v>
      </c>
      <c r="B116" s="66">
        <v>43511</v>
      </c>
      <c r="C116" s="71">
        <v>5</v>
      </c>
      <c r="D116" s="68" t="s">
        <v>119</v>
      </c>
      <c r="E116" s="12" t="s">
        <v>414</v>
      </c>
      <c r="F116" s="65">
        <v>44242</v>
      </c>
      <c r="G116" s="65">
        <v>44253</v>
      </c>
      <c r="H116" s="65">
        <v>44258</v>
      </c>
      <c r="I116" s="75">
        <v>0.017</v>
      </c>
      <c r="J116" s="72">
        <v>0.085</v>
      </c>
      <c r="K116" s="67" t="s">
        <v>5</v>
      </c>
    </row>
    <row r="117" spans="1:11" s="177" customFormat="1" ht="22.5" customHeight="1">
      <c r="A117" s="64" t="s">
        <v>318</v>
      </c>
      <c r="B117" s="66">
        <v>43524</v>
      </c>
      <c r="C117" s="71">
        <v>5</v>
      </c>
      <c r="D117" s="68" t="s">
        <v>581</v>
      </c>
      <c r="E117" s="12" t="s">
        <v>506</v>
      </c>
      <c r="F117" s="65">
        <v>44253</v>
      </c>
      <c r="G117" s="65">
        <v>44270</v>
      </c>
      <c r="H117" s="65">
        <v>44273</v>
      </c>
      <c r="I117" s="75" t="s">
        <v>505</v>
      </c>
      <c r="J117" s="60">
        <v>0.1624</v>
      </c>
      <c r="K117" s="67" t="s">
        <v>327</v>
      </c>
    </row>
    <row r="118" spans="1:11" s="177" customFormat="1" ht="22.5" customHeight="1">
      <c r="A118" s="64" t="s">
        <v>28</v>
      </c>
      <c r="B118" s="66">
        <v>42416</v>
      </c>
      <c r="C118" s="71">
        <v>5</v>
      </c>
      <c r="D118" s="68" t="s">
        <v>616</v>
      </c>
      <c r="E118" s="12" t="s">
        <v>414</v>
      </c>
      <c r="F118" s="65">
        <v>44253</v>
      </c>
      <c r="G118" s="65">
        <v>44270</v>
      </c>
      <c r="H118" s="65">
        <v>44273</v>
      </c>
      <c r="I118" s="75">
        <v>0.02</v>
      </c>
      <c r="J118" s="72">
        <v>0.1</v>
      </c>
      <c r="K118" s="67" t="s">
        <v>5</v>
      </c>
    </row>
    <row r="119" spans="1:11" s="177" customFormat="1" ht="22.5" customHeight="1">
      <c r="A119" s="64" t="s">
        <v>41</v>
      </c>
      <c r="B119" s="66">
        <v>42787</v>
      </c>
      <c r="C119" s="71">
        <v>5</v>
      </c>
      <c r="D119" s="68" t="s">
        <v>618</v>
      </c>
      <c r="E119" s="12" t="s">
        <v>414</v>
      </c>
      <c r="F119" s="65">
        <v>44253</v>
      </c>
      <c r="G119" s="65">
        <v>44270</v>
      </c>
      <c r="H119" s="65">
        <v>44273</v>
      </c>
      <c r="I119" s="75">
        <v>0.02</v>
      </c>
      <c r="J119" s="72">
        <v>0.1</v>
      </c>
      <c r="K119" s="67" t="s">
        <v>5</v>
      </c>
    </row>
    <row r="120" spans="1:11" s="177" customFormat="1" ht="22.5" customHeight="1">
      <c r="A120" s="64" t="s">
        <v>507</v>
      </c>
      <c r="B120" s="66">
        <v>43553</v>
      </c>
      <c r="C120" s="71">
        <v>100</v>
      </c>
      <c r="D120" s="68" t="s">
        <v>601</v>
      </c>
      <c r="E120" s="12" t="s">
        <v>414</v>
      </c>
      <c r="F120" s="65">
        <v>44284</v>
      </c>
      <c r="G120" s="65">
        <v>44285</v>
      </c>
      <c r="H120" s="65">
        <v>44288</v>
      </c>
      <c r="I120" s="75"/>
      <c r="J120" s="72">
        <v>0</v>
      </c>
      <c r="K120" s="97" t="s">
        <v>6</v>
      </c>
    </row>
    <row r="121" spans="1:11" s="177" customFormat="1" ht="22.5" customHeight="1">
      <c r="A121" s="64" t="s">
        <v>60</v>
      </c>
      <c r="B121" s="66">
        <v>43159</v>
      </c>
      <c r="C121" s="71">
        <v>5</v>
      </c>
      <c r="D121" s="68" t="s">
        <v>619</v>
      </c>
      <c r="E121" s="12" t="s">
        <v>414</v>
      </c>
      <c r="F121" s="65">
        <v>44270</v>
      </c>
      <c r="G121" s="65">
        <v>44286</v>
      </c>
      <c r="H121" s="65">
        <v>44292</v>
      </c>
      <c r="I121" s="75">
        <v>0.02</v>
      </c>
      <c r="J121" s="72">
        <v>0.1</v>
      </c>
      <c r="K121" s="97" t="s">
        <v>5</v>
      </c>
    </row>
    <row r="122" spans="1:11" s="177" customFormat="1" ht="22.5" customHeight="1">
      <c r="A122" s="64" t="s">
        <v>535</v>
      </c>
      <c r="B122" s="66">
        <v>43889</v>
      </c>
      <c r="C122" s="71">
        <v>5</v>
      </c>
      <c r="D122" s="180" t="s">
        <v>620</v>
      </c>
      <c r="E122" s="12" t="s">
        <v>422</v>
      </c>
      <c r="F122" s="65">
        <v>44270</v>
      </c>
      <c r="G122" s="65">
        <v>44286</v>
      </c>
      <c r="H122" s="65">
        <v>44292</v>
      </c>
      <c r="I122" s="182" t="s">
        <v>537</v>
      </c>
      <c r="J122" s="72">
        <v>0.1659</v>
      </c>
      <c r="K122" s="97" t="s">
        <v>329</v>
      </c>
    </row>
    <row r="123" spans="1:11" s="177" customFormat="1" ht="22.5" customHeight="1">
      <c r="A123" s="64" t="s">
        <v>536</v>
      </c>
      <c r="B123" s="66">
        <v>43889</v>
      </c>
      <c r="C123" s="71">
        <v>5</v>
      </c>
      <c r="D123" s="180" t="s">
        <v>621</v>
      </c>
      <c r="E123" s="12" t="s">
        <v>422</v>
      </c>
      <c r="F123" s="65">
        <v>44270</v>
      </c>
      <c r="G123" s="65">
        <v>44286</v>
      </c>
      <c r="H123" s="65">
        <v>44292</v>
      </c>
      <c r="I123" s="182" t="s">
        <v>538</v>
      </c>
      <c r="J123" s="72">
        <v>0.1753</v>
      </c>
      <c r="K123" s="97" t="s">
        <v>329</v>
      </c>
    </row>
    <row r="124" spans="1:11" s="177" customFormat="1" ht="22.5" customHeight="1">
      <c r="A124" s="64" t="s">
        <v>179</v>
      </c>
      <c r="B124" s="66">
        <v>43544</v>
      </c>
      <c r="C124" s="71">
        <v>5</v>
      </c>
      <c r="D124" s="68" t="s">
        <v>180</v>
      </c>
      <c r="E124" s="12" t="s">
        <v>410</v>
      </c>
      <c r="F124" s="65">
        <v>44286</v>
      </c>
      <c r="G124" s="65">
        <v>44287</v>
      </c>
      <c r="H124" s="65">
        <v>44291</v>
      </c>
      <c r="I124" s="75">
        <v>0.0045</v>
      </c>
      <c r="J124" s="60">
        <v>0.0057</v>
      </c>
      <c r="K124" s="97" t="s">
        <v>8</v>
      </c>
    </row>
    <row r="125" spans="1:11" s="177" customFormat="1" ht="22.5" customHeight="1">
      <c r="A125" s="64" t="s">
        <v>103</v>
      </c>
      <c r="B125" s="66">
        <v>41281</v>
      </c>
      <c r="C125" s="71">
        <v>5</v>
      </c>
      <c r="D125" s="68" t="s">
        <v>579</v>
      </c>
      <c r="E125" s="12" t="s">
        <v>410</v>
      </c>
      <c r="F125" s="65">
        <v>44286</v>
      </c>
      <c r="G125" s="65">
        <v>44287</v>
      </c>
      <c r="H125" s="65">
        <v>44291</v>
      </c>
      <c r="I125" s="75">
        <v>0.001</v>
      </c>
      <c r="J125" s="60">
        <v>0.0019</v>
      </c>
      <c r="K125" s="97" t="s">
        <v>500</v>
      </c>
    </row>
    <row r="126" spans="1:11" s="177" customFormat="1" ht="22.5" customHeight="1">
      <c r="A126" s="64" t="s">
        <v>106</v>
      </c>
      <c r="B126" s="66">
        <v>41281</v>
      </c>
      <c r="C126" s="71">
        <v>5</v>
      </c>
      <c r="D126" s="68" t="s">
        <v>580</v>
      </c>
      <c r="E126" s="12" t="s">
        <v>410</v>
      </c>
      <c r="F126" s="65">
        <v>44286</v>
      </c>
      <c r="G126" s="65">
        <v>44287</v>
      </c>
      <c r="H126" s="65">
        <v>44291</v>
      </c>
      <c r="I126" s="75">
        <v>0.001</v>
      </c>
      <c r="J126" s="60">
        <v>0.0015</v>
      </c>
      <c r="K126" s="97" t="s">
        <v>500</v>
      </c>
    </row>
    <row r="127" spans="1:11" s="177" customFormat="1" ht="22.5" customHeight="1">
      <c r="A127" s="64" t="s">
        <v>80</v>
      </c>
      <c r="B127" s="66">
        <v>42460</v>
      </c>
      <c r="C127" s="71">
        <v>100</v>
      </c>
      <c r="D127" s="68" t="s">
        <v>602</v>
      </c>
      <c r="E127" s="12" t="s">
        <v>414</v>
      </c>
      <c r="F127" s="65">
        <v>44286</v>
      </c>
      <c r="G127" s="65">
        <v>44287</v>
      </c>
      <c r="H127" s="65">
        <v>44292</v>
      </c>
      <c r="I127" s="75"/>
      <c r="J127" s="60">
        <v>0.2394</v>
      </c>
      <c r="K127" s="97" t="s">
        <v>6</v>
      </c>
    </row>
    <row r="128" spans="1:11" s="177" customFormat="1" ht="22.5" customHeight="1">
      <c r="A128" s="64" t="s">
        <v>695</v>
      </c>
      <c r="B128" s="66">
        <v>43921</v>
      </c>
      <c r="C128" s="71">
        <v>5</v>
      </c>
      <c r="D128" s="180" t="s">
        <v>627</v>
      </c>
      <c r="E128" s="12" t="s">
        <v>422</v>
      </c>
      <c r="F128" s="65">
        <v>44286</v>
      </c>
      <c r="G128" s="65">
        <v>44301</v>
      </c>
      <c r="H128" s="65">
        <v>44306</v>
      </c>
      <c r="I128" s="182" t="s">
        <v>543</v>
      </c>
      <c r="J128" s="60">
        <v>0.2368</v>
      </c>
      <c r="K128" s="67" t="s">
        <v>329</v>
      </c>
    </row>
    <row r="129" spans="1:11" s="177" customFormat="1" ht="22.5" customHeight="1">
      <c r="A129" s="64" t="s">
        <v>42</v>
      </c>
      <c r="B129" s="66">
        <v>42825</v>
      </c>
      <c r="C129" s="71">
        <v>5</v>
      </c>
      <c r="D129" s="68" t="s">
        <v>625</v>
      </c>
      <c r="E129" s="12" t="s">
        <v>414</v>
      </c>
      <c r="F129" s="65">
        <v>44286</v>
      </c>
      <c r="G129" s="65">
        <v>44301</v>
      </c>
      <c r="H129" s="65">
        <v>44306</v>
      </c>
      <c r="I129" s="75">
        <v>0.02</v>
      </c>
      <c r="J129" s="72">
        <v>0.1</v>
      </c>
      <c r="K129" s="97" t="s">
        <v>5</v>
      </c>
    </row>
    <row r="130" spans="1:11" s="177" customFormat="1" ht="22.5" customHeight="1">
      <c r="A130" s="64" t="s">
        <v>539</v>
      </c>
      <c r="B130" s="66">
        <v>43921</v>
      </c>
      <c r="C130" s="71">
        <v>5</v>
      </c>
      <c r="D130" s="180" t="s">
        <v>629</v>
      </c>
      <c r="E130" s="12" t="s">
        <v>414</v>
      </c>
      <c r="F130" s="65">
        <v>44286</v>
      </c>
      <c r="G130" s="65">
        <v>44301</v>
      </c>
      <c r="H130" s="65">
        <v>44316</v>
      </c>
      <c r="I130" s="182">
        <v>0.018</v>
      </c>
      <c r="J130" s="72">
        <v>0.09</v>
      </c>
      <c r="K130" s="97" t="s">
        <v>5</v>
      </c>
    </row>
    <row r="131" spans="1:11" s="177" customFormat="1" ht="22.5" customHeight="1">
      <c r="A131" s="64" t="s">
        <v>540</v>
      </c>
      <c r="B131" s="66">
        <v>43921</v>
      </c>
      <c r="C131" s="71">
        <v>5</v>
      </c>
      <c r="D131" s="180" t="s">
        <v>628</v>
      </c>
      <c r="E131" s="12" t="s">
        <v>414</v>
      </c>
      <c r="F131" s="65">
        <v>44286</v>
      </c>
      <c r="G131" s="65">
        <v>44301</v>
      </c>
      <c r="H131" s="65">
        <v>44306</v>
      </c>
      <c r="I131" s="182">
        <v>0.035</v>
      </c>
      <c r="J131" s="72">
        <v>0.17500000000000002</v>
      </c>
      <c r="K131" s="97" t="s">
        <v>329</v>
      </c>
    </row>
    <row r="132" spans="1:12" s="181" customFormat="1" ht="22.5" customHeight="1">
      <c r="A132" s="64" t="s">
        <v>541</v>
      </c>
      <c r="B132" s="66">
        <v>43921</v>
      </c>
      <c r="C132" s="71">
        <v>5</v>
      </c>
      <c r="D132" s="180" t="s">
        <v>628</v>
      </c>
      <c r="E132" s="12" t="s">
        <v>422</v>
      </c>
      <c r="F132" s="65">
        <v>44286</v>
      </c>
      <c r="G132" s="65">
        <v>44301</v>
      </c>
      <c r="H132" s="65">
        <v>44306</v>
      </c>
      <c r="I132" s="182" t="s">
        <v>542</v>
      </c>
      <c r="J132" s="60">
        <v>0.2277</v>
      </c>
      <c r="K132" s="67" t="s">
        <v>329</v>
      </c>
      <c r="L132" s="177"/>
    </row>
    <row r="133" spans="1:12" s="174" customFormat="1" ht="26.25" customHeight="1">
      <c r="A133" s="64" t="s">
        <v>29</v>
      </c>
      <c r="B133" s="66">
        <v>42460</v>
      </c>
      <c r="C133" s="71">
        <v>5</v>
      </c>
      <c r="D133" s="68" t="s">
        <v>622</v>
      </c>
      <c r="E133" s="12" t="s">
        <v>414</v>
      </c>
      <c r="F133" s="65">
        <v>44286</v>
      </c>
      <c r="G133" s="65">
        <v>44301</v>
      </c>
      <c r="H133" s="65">
        <v>44306</v>
      </c>
      <c r="I133" s="75">
        <v>0.02</v>
      </c>
      <c r="J133" s="72">
        <v>0.1</v>
      </c>
      <c r="K133" s="67" t="s">
        <v>5</v>
      </c>
      <c r="L133" s="177"/>
    </row>
    <row r="134" spans="1:12" s="181" customFormat="1" ht="26.25" customHeight="1">
      <c r="A134" s="64" t="s">
        <v>61</v>
      </c>
      <c r="B134" s="66">
        <v>43188</v>
      </c>
      <c r="C134" s="105">
        <v>5</v>
      </c>
      <c r="D134" s="68" t="s">
        <v>624</v>
      </c>
      <c r="E134" s="12" t="s">
        <v>414</v>
      </c>
      <c r="F134" s="65">
        <v>44286</v>
      </c>
      <c r="G134" s="65">
        <v>44301</v>
      </c>
      <c r="H134" s="65">
        <v>44306</v>
      </c>
      <c r="I134" s="75">
        <v>0.02</v>
      </c>
      <c r="J134" s="72">
        <v>0.1</v>
      </c>
      <c r="K134" s="97" t="s">
        <v>5</v>
      </c>
      <c r="L134" s="177"/>
    </row>
    <row r="135" spans="1:12" s="181" customFormat="1" ht="26.25" customHeight="1">
      <c r="A135" s="64" t="s">
        <v>116</v>
      </c>
      <c r="B135" s="66">
        <v>43553</v>
      </c>
      <c r="C135" s="71">
        <v>5</v>
      </c>
      <c r="D135" s="68" t="s">
        <v>623</v>
      </c>
      <c r="E135" s="12" t="s">
        <v>414</v>
      </c>
      <c r="F135" s="65">
        <v>44286</v>
      </c>
      <c r="G135" s="65">
        <v>44301</v>
      </c>
      <c r="H135" s="65">
        <v>44306</v>
      </c>
      <c r="I135" s="75">
        <v>0.014</v>
      </c>
      <c r="J135" s="72">
        <v>0.07</v>
      </c>
      <c r="K135" s="67" t="s">
        <v>5</v>
      </c>
      <c r="L135" s="177"/>
    </row>
    <row r="136" spans="1:12" s="174" customFormat="1" ht="26.25" customHeight="1">
      <c r="A136" s="64" t="s">
        <v>115</v>
      </c>
      <c r="B136" s="66">
        <v>43553</v>
      </c>
      <c r="C136" s="105">
        <v>5</v>
      </c>
      <c r="D136" s="68" t="s">
        <v>626</v>
      </c>
      <c r="E136" s="12" t="s">
        <v>414</v>
      </c>
      <c r="F136" s="65">
        <v>44286</v>
      </c>
      <c r="G136" s="65">
        <v>44301</v>
      </c>
      <c r="H136" s="65">
        <v>44306</v>
      </c>
      <c r="I136" s="75">
        <v>0.014</v>
      </c>
      <c r="J136" s="72">
        <v>0.07</v>
      </c>
      <c r="K136" s="67" t="s">
        <v>5</v>
      </c>
      <c r="L136" s="177"/>
    </row>
    <row r="137" spans="1:12" s="181" customFormat="1" ht="26.25" customHeight="1">
      <c r="A137" s="64" t="s">
        <v>43</v>
      </c>
      <c r="B137" s="66">
        <v>42853</v>
      </c>
      <c r="C137" s="105">
        <v>5</v>
      </c>
      <c r="D137" s="68" t="s">
        <v>632</v>
      </c>
      <c r="E137" s="68" t="s">
        <v>414</v>
      </c>
      <c r="F137" s="65">
        <v>44316</v>
      </c>
      <c r="G137" s="65">
        <v>44333</v>
      </c>
      <c r="H137" s="65">
        <v>44336</v>
      </c>
      <c r="I137" s="75">
        <v>0.02</v>
      </c>
      <c r="J137" s="72">
        <v>0.1</v>
      </c>
      <c r="K137" s="67" t="s">
        <v>5</v>
      </c>
      <c r="L137" s="183"/>
    </row>
    <row r="138" spans="1:11" s="181" customFormat="1" ht="26.25" customHeight="1">
      <c r="A138" s="64" t="s">
        <v>62</v>
      </c>
      <c r="B138" s="66">
        <v>43220</v>
      </c>
      <c r="C138" s="71">
        <v>5</v>
      </c>
      <c r="D138" s="68" t="s">
        <v>631</v>
      </c>
      <c r="E138" s="12" t="s">
        <v>414</v>
      </c>
      <c r="F138" s="65">
        <v>44316</v>
      </c>
      <c r="G138" s="65">
        <v>44333</v>
      </c>
      <c r="H138" s="65">
        <v>44336</v>
      </c>
      <c r="I138" s="75">
        <v>0.02</v>
      </c>
      <c r="J138" s="72">
        <v>0.1</v>
      </c>
      <c r="K138" s="67" t="s">
        <v>5</v>
      </c>
    </row>
    <row r="139" spans="1:11" s="181" customFormat="1" ht="26.25" customHeight="1">
      <c r="A139" s="64" t="s">
        <v>127</v>
      </c>
      <c r="B139" s="66">
        <v>43585</v>
      </c>
      <c r="C139" s="71">
        <v>5</v>
      </c>
      <c r="D139" s="68" t="s">
        <v>630</v>
      </c>
      <c r="E139" s="68" t="s">
        <v>414</v>
      </c>
      <c r="F139" s="65">
        <v>44316</v>
      </c>
      <c r="G139" s="65">
        <v>44333</v>
      </c>
      <c r="H139" s="65">
        <v>44336</v>
      </c>
      <c r="I139" s="75">
        <v>0.02</v>
      </c>
      <c r="J139" s="72">
        <v>0.1</v>
      </c>
      <c r="K139" s="67" t="s">
        <v>5</v>
      </c>
    </row>
    <row r="140" spans="1:11" s="174" customFormat="1" ht="26.25" customHeight="1">
      <c r="A140" s="64" t="s">
        <v>128</v>
      </c>
      <c r="B140" s="66">
        <v>43602</v>
      </c>
      <c r="C140" s="71">
        <v>100</v>
      </c>
      <c r="D140" s="68" t="s">
        <v>603</v>
      </c>
      <c r="E140" s="12" t="s">
        <v>414</v>
      </c>
      <c r="F140" s="65">
        <v>44333</v>
      </c>
      <c r="G140" s="65">
        <v>44334</v>
      </c>
      <c r="H140" s="65">
        <v>44337</v>
      </c>
      <c r="I140" s="75"/>
      <c r="J140" s="72">
        <v>0</v>
      </c>
      <c r="K140" s="67" t="s">
        <v>129</v>
      </c>
    </row>
    <row r="141" spans="1:11" s="181" customFormat="1" ht="26.25" customHeight="1">
      <c r="A141" s="220" t="s">
        <v>77</v>
      </c>
      <c r="B141" s="66">
        <v>42053</v>
      </c>
      <c r="C141" s="71">
        <v>100</v>
      </c>
      <c r="D141" s="68" t="s">
        <v>604</v>
      </c>
      <c r="E141" s="221" t="s">
        <v>414</v>
      </c>
      <c r="F141" s="65">
        <v>44334</v>
      </c>
      <c r="G141" s="65">
        <v>44335</v>
      </c>
      <c r="H141" s="65">
        <v>44340</v>
      </c>
      <c r="I141" s="75"/>
      <c r="J141" s="72">
        <v>0</v>
      </c>
      <c r="K141" s="67" t="s">
        <v>6</v>
      </c>
    </row>
    <row r="142" spans="1:11" s="181" customFormat="1" ht="26.25" customHeight="1">
      <c r="A142" s="64" t="s">
        <v>30</v>
      </c>
      <c r="B142" s="145">
        <v>42502</v>
      </c>
      <c r="C142" s="71">
        <v>5</v>
      </c>
      <c r="D142" s="68" t="s">
        <v>633</v>
      </c>
      <c r="E142" s="12" t="s">
        <v>414</v>
      </c>
      <c r="F142" s="65">
        <v>44333</v>
      </c>
      <c r="G142" s="65">
        <v>44347</v>
      </c>
      <c r="H142" s="65">
        <v>44350</v>
      </c>
      <c r="I142" s="75">
        <v>0.02</v>
      </c>
      <c r="J142" s="72">
        <v>0.1</v>
      </c>
      <c r="K142" s="67" t="s">
        <v>5</v>
      </c>
    </row>
    <row r="143" spans="1:11" s="181" customFormat="1" ht="26.25" customHeight="1">
      <c r="A143" s="64" t="s">
        <v>125</v>
      </c>
      <c r="B143" s="66">
        <v>43602</v>
      </c>
      <c r="C143" s="71">
        <v>5</v>
      </c>
      <c r="D143" s="68" t="s">
        <v>634</v>
      </c>
      <c r="E143" s="12" t="s">
        <v>414</v>
      </c>
      <c r="F143" s="65">
        <v>44333</v>
      </c>
      <c r="G143" s="65">
        <v>44347</v>
      </c>
      <c r="H143" s="65">
        <v>44350</v>
      </c>
      <c r="I143" s="75">
        <v>0.0135</v>
      </c>
      <c r="J143" s="60">
        <v>0.0675</v>
      </c>
      <c r="K143" s="67" t="s">
        <v>5</v>
      </c>
    </row>
    <row r="144" spans="1:11" s="181" customFormat="1" ht="26.25" customHeight="1">
      <c r="A144" s="64" t="s">
        <v>126</v>
      </c>
      <c r="B144" s="66">
        <v>43602</v>
      </c>
      <c r="C144" s="71">
        <v>5</v>
      </c>
      <c r="D144" s="68" t="s">
        <v>635</v>
      </c>
      <c r="E144" s="12" t="s">
        <v>414</v>
      </c>
      <c r="F144" s="65">
        <v>44333</v>
      </c>
      <c r="G144" s="65">
        <v>44347</v>
      </c>
      <c r="H144" s="65">
        <v>44350</v>
      </c>
      <c r="I144" s="75">
        <v>0.0135</v>
      </c>
      <c r="J144" s="60">
        <v>0.0675</v>
      </c>
      <c r="K144" s="67" t="s">
        <v>5</v>
      </c>
    </row>
    <row r="145" spans="1:11" s="181" customFormat="1" ht="22.5" customHeight="1">
      <c r="A145" s="64" t="s">
        <v>544</v>
      </c>
      <c r="B145" s="66">
        <v>43980</v>
      </c>
      <c r="C145" s="71">
        <v>5</v>
      </c>
      <c r="D145" s="180" t="s">
        <v>639</v>
      </c>
      <c r="E145" s="12" t="s">
        <v>414</v>
      </c>
      <c r="F145" s="65">
        <v>44347</v>
      </c>
      <c r="G145" s="65">
        <v>44362</v>
      </c>
      <c r="H145" s="65">
        <v>44365</v>
      </c>
      <c r="I145" s="182">
        <v>0.015</v>
      </c>
      <c r="J145" s="72">
        <v>0.075</v>
      </c>
      <c r="K145" s="67" t="s">
        <v>5</v>
      </c>
    </row>
    <row r="146" spans="1:11" s="181" customFormat="1" ht="26.25" customHeight="1">
      <c r="A146" s="64" t="s">
        <v>545</v>
      </c>
      <c r="B146" s="66">
        <v>43980</v>
      </c>
      <c r="C146" s="71">
        <v>5</v>
      </c>
      <c r="D146" s="180" t="s">
        <v>638</v>
      </c>
      <c r="E146" s="12" t="s">
        <v>414</v>
      </c>
      <c r="F146" s="65">
        <v>44347</v>
      </c>
      <c r="G146" s="65">
        <v>44362</v>
      </c>
      <c r="H146" s="65">
        <v>44365</v>
      </c>
      <c r="I146" s="182">
        <v>0.013</v>
      </c>
      <c r="J146" s="72">
        <v>0.65</v>
      </c>
      <c r="K146" s="67" t="s">
        <v>5</v>
      </c>
    </row>
    <row r="147" spans="1:11" s="174" customFormat="1" ht="26.25" customHeight="1">
      <c r="A147" s="64" t="s">
        <v>44</v>
      </c>
      <c r="B147" s="66">
        <v>42886</v>
      </c>
      <c r="C147" s="71">
        <v>5</v>
      </c>
      <c r="D147" s="68" t="s">
        <v>636</v>
      </c>
      <c r="E147" s="12" t="s">
        <v>414</v>
      </c>
      <c r="F147" s="65">
        <v>44347</v>
      </c>
      <c r="G147" s="65">
        <v>44362</v>
      </c>
      <c r="H147" s="65">
        <v>44365</v>
      </c>
      <c r="I147" s="75">
        <v>0.02</v>
      </c>
      <c r="J147" s="72">
        <v>0.1</v>
      </c>
      <c r="K147" s="67" t="s">
        <v>5</v>
      </c>
    </row>
    <row r="148" spans="1:11" s="181" customFormat="1" ht="22.5" customHeight="1">
      <c r="A148" s="64" t="s">
        <v>71</v>
      </c>
      <c r="B148" s="66">
        <v>43250</v>
      </c>
      <c r="C148" s="71">
        <v>5</v>
      </c>
      <c r="D148" s="68" t="s">
        <v>637</v>
      </c>
      <c r="E148" s="12" t="s">
        <v>414</v>
      </c>
      <c r="F148" s="65">
        <v>44347</v>
      </c>
      <c r="G148" s="65">
        <v>44362</v>
      </c>
      <c r="H148" s="65">
        <v>44365</v>
      </c>
      <c r="I148" s="75">
        <v>0.02</v>
      </c>
      <c r="J148" s="72">
        <v>0.1</v>
      </c>
      <c r="K148" s="97" t="s">
        <v>5</v>
      </c>
    </row>
    <row r="149" spans="1:11" s="175" customFormat="1" ht="26.25" customHeight="1">
      <c r="A149" s="79" t="s">
        <v>316</v>
      </c>
      <c r="B149" s="80">
        <v>43644</v>
      </c>
      <c r="C149" s="81">
        <v>100</v>
      </c>
      <c r="D149" s="82" t="s">
        <v>605</v>
      </c>
      <c r="E149" s="1" t="s">
        <v>414</v>
      </c>
      <c r="F149" s="83">
        <v>44375</v>
      </c>
      <c r="G149" s="83">
        <v>44376</v>
      </c>
      <c r="H149" s="83">
        <v>44379</v>
      </c>
      <c r="I149" s="84"/>
      <c r="J149" s="85">
        <v>0</v>
      </c>
      <c r="K149" s="77" t="s">
        <v>129</v>
      </c>
    </row>
    <row r="150" spans="1:11" s="175" customFormat="1" ht="26.25" customHeight="1">
      <c r="A150" s="79" t="s">
        <v>79</v>
      </c>
      <c r="B150" s="80">
        <v>42094</v>
      </c>
      <c r="C150" s="81">
        <v>100</v>
      </c>
      <c r="D150" s="82" t="s">
        <v>606</v>
      </c>
      <c r="E150" s="1" t="s">
        <v>414</v>
      </c>
      <c r="F150" s="83">
        <v>44377</v>
      </c>
      <c r="G150" s="83">
        <v>44378</v>
      </c>
      <c r="H150" s="83">
        <v>44383</v>
      </c>
      <c r="I150" s="84"/>
      <c r="J150" s="85">
        <v>0</v>
      </c>
      <c r="K150" s="77" t="s">
        <v>6</v>
      </c>
    </row>
    <row r="151" spans="1:11" s="176" customFormat="1" ht="22.5" customHeight="1">
      <c r="A151" s="79" t="s">
        <v>179</v>
      </c>
      <c r="B151" s="80">
        <v>43544</v>
      </c>
      <c r="C151" s="81">
        <v>5</v>
      </c>
      <c r="D151" s="1" t="s">
        <v>180</v>
      </c>
      <c r="E151" s="1" t="s">
        <v>410</v>
      </c>
      <c r="F151" s="83">
        <v>44377</v>
      </c>
      <c r="G151" s="83">
        <v>44378</v>
      </c>
      <c r="H151" s="83">
        <v>44383</v>
      </c>
      <c r="I151" s="84">
        <v>0.0045</v>
      </c>
      <c r="J151" s="76">
        <v>0.0057</v>
      </c>
      <c r="K151" s="77" t="s">
        <v>8</v>
      </c>
    </row>
    <row r="152" spans="1:11" s="175" customFormat="1" ht="26.25" customHeight="1">
      <c r="A152" s="79" t="s">
        <v>103</v>
      </c>
      <c r="B152" s="80">
        <v>41281</v>
      </c>
      <c r="C152" s="81">
        <v>5</v>
      </c>
      <c r="D152" s="82" t="s">
        <v>579</v>
      </c>
      <c r="E152" s="1" t="s">
        <v>410</v>
      </c>
      <c r="F152" s="83">
        <v>44377</v>
      </c>
      <c r="G152" s="83">
        <v>44378</v>
      </c>
      <c r="H152" s="83">
        <v>44383</v>
      </c>
      <c r="I152" s="84">
        <v>0.001</v>
      </c>
      <c r="J152" s="76">
        <v>0.0019</v>
      </c>
      <c r="K152" s="77" t="s">
        <v>500</v>
      </c>
    </row>
    <row r="153" spans="1:11" s="175" customFormat="1" ht="22.5" customHeight="1">
      <c r="A153" s="79" t="s">
        <v>106</v>
      </c>
      <c r="B153" s="80">
        <v>41281</v>
      </c>
      <c r="C153" s="81">
        <v>5</v>
      </c>
      <c r="D153" s="82" t="s">
        <v>580</v>
      </c>
      <c r="E153" s="1" t="s">
        <v>410</v>
      </c>
      <c r="F153" s="83">
        <v>44377</v>
      </c>
      <c r="G153" s="83">
        <v>44378</v>
      </c>
      <c r="H153" s="83">
        <v>44383</v>
      </c>
      <c r="I153" s="84">
        <v>0.001</v>
      </c>
      <c r="J153" s="76">
        <v>0.0015</v>
      </c>
      <c r="K153" s="77" t="s">
        <v>500</v>
      </c>
    </row>
    <row r="154" spans="1:11" s="174" customFormat="1" ht="22.5" customHeight="1">
      <c r="A154" s="64" t="s">
        <v>521</v>
      </c>
      <c r="B154" s="66">
        <v>43644</v>
      </c>
      <c r="C154" s="71">
        <v>5</v>
      </c>
      <c r="D154" s="12" t="s">
        <v>583</v>
      </c>
      <c r="E154" s="12" t="s">
        <v>422</v>
      </c>
      <c r="F154" s="65">
        <v>44377</v>
      </c>
      <c r="G154" s="65">
        <v>44392</v>
      </c>
      <c r="H154" s="65">
        <v>44397</v>
      </c>
      <c r="I154" s="75" t="s">
        <v>522</v>
      </c>
      <c r="J154" s="72">
        <v>0.1445</v>
      </c>
      <c r="K154" s="67" t="s">
        <v>327</v>
      </c>
    </row>
    <row r="155" spans="1:11" s="181" customFormat="1" ht="22.5" customHeight="1">
      <c r="A155" s="64" t="s">
        <v>546</v>
      </c>
      <c r="B155" s="66">
        <v>44002</v>
      </c>
      <c r="C155" s="71">
        <v>5</v>
      </c>
      <c r="D155" s="180" t="s">
        <v>646</v>
      </c>
      <c r="E155" s="12" t="s">
        <v>414</v>
      </c>
      <c r="F155" s="65">
        <v>44377</v>
      </c>
      <c r="G155" s="65">
        <v>44392</v>
      </c>
      <c r="H155" s="65">
        <v>44397</v>
      </c>
      <c r="I155" s="182">
        <v>0.015</v>
      </c>
      <c r="J155" s="72">
        <v>0.075</v>
      </c>
      <c r="K155" s="67" t="s">
        <v>5</v>
      </c>
    </row>
    <row r="156" spans="1:11" s="174" customFormat="1" ht="26.25" customHeight="1">
      <c r="A156" s="64" t="s">
        <v>547</v>
      </c>
      <c r="B156" s="66">
        <v>44002</v>
      </c>
      <c r="C156" s="71">
        <v>5</v>
      </c>
      <c r="D156" s="180" t="s">
        <v>645</v>
      </c>
      <c r="E156" s="12" t="s">
        <v>414</v>
      </c>
      <c r="F156" s="65">
        <v>44377</v>
      </c>
      <c r="G156" s="65">
        <v>44392</v>
      </c>
      <c r="H156" s="65">
        <v>44397</v>
      </c>
      <c r="I156" s="182">
        <v>0.013</v>
      </c>
      <c r="J156" s="72">
        <v>0.065</v>
      </c>
      <c r="K156" s="67" t="s">
        <v>5</v>
      </c>
    </row>
    <row r="157" spans="1:11" s="174" customFormat="1" ht="26.25" customHeight="1">
      <c r="A157" s="64" t="s">
        <v>31</v>
      </c>
      <c r="B157" s="66">
        <v>42551</v>
      </c>
      <c r="C157" s="105">
        <v>5</v>
      </c>
      <c r="D157" s="12" t="s">
        <v>640</v>
      </c>
      <c r="E157" s="12" t="s">
        <v>414</v>
      </c>
      <c r="F157" s="65">
        <v>44377</v>
      </c>
      <c r="G157" s="65">
        <v>44392</v>
      </c>
      <c r="H157" s="65">
        <v>44397</v>
      </c>
      <c r="I157" s="75">
        <v>0.02</v>
      </c>
      <c r="J157" s="72">
        <v>0.1</v>
      </c>
      <c r="K157" s="67" t="s">
        <v>5</v>
      </c>
    </row>
    <row r="158" spans="1:11" s="181" customFormat="1" ht="26.25" customHeight="1">
      <c r="A158" s="64" t="s">
        <v>45</v>
      </c>
      <c r="B158" s="66">
        <v>42916</v>
      </c>
      <c r="C158" s="71">
        <v>5</v>
      </c>
      <c r="D158" s="12" t="s">
        <v>641</v>
      </c>
      <c r="E158" s="12" t="s">
        <v>414</v>
      </c>
      <c r="F158" s="65">
        <v>44377</v>
      </c>
      <c r="G158" s="65">
        <v>44392</v>
      </c>
      <c r="H158" s="65">
        <v>44397</v>
      </c>
      <c r="I158" s="75">
        <v>0.02</v>
      </c>
      <c r="J158" s="72">
        <v>0.1</v>
      </c>
      <c r="K158" s="67" t="s">
        <v>5</v>
      </c>
    </row>
    <row r="159" spans="1:11" s="174" customFormat="1" ht="26.25" customHeight="1">
      <c r="A159" s="138" t="s">
        <v>63</v>
      </c>
      <c r="B159" s="121">
        <v>43280</v>
      </c>
      <c r="C159" s="143">
        <v>5</v>
      </c>
      <c r="D159" s="135" t="s">
        <v>642</v>
      </c>
      <c r="E159" s="135" t="s">
        <v>414</v>
      </c>
      <c r="F159" s="65">
        <v>44377</v>
      </c>
      <c r="G159" s="65">
        <v>44392</v>
      </c>
      <c r="H159" s="65">
        <v>44397</v>
      </c>
      <c r="I159" s="75">
        <v>0.02</v>
      </c>
      <c r="J159" s="72">
        <v>0.1</v>
      </c>
      <c r="K159" s="97" t="s">
        <v>5</v>
      </c>
    </row>
    <row r="160" spans="1:11" s="181" customFormat="1" ht="22.5" customHeight="1">
      <c r="A160" s="64" t="s">
        <v>131</v>
      </c>
      <c r="B160" s="66">
        <v>43644</v>
      </c>
      <c r="C160" s="71">
        <v>5</v>
      </c>
      <c r="D160" s="12" t="s">
        <v>643</v>
      </c>
      <c r="E160" s="12" t="s">
        <v>414</v>
      </c>
      <c r="F160" s="65">
        <v>44377</v>
      </c>
      <c r="G160" s="65">
        <v>44392</v>
      </c>
      <c r="H160" s="65">
        <v>44397</v>
      </c>
      <c r="I160" s="75">
        <v>0.01</v>
      </c>
      <c r="J160" s="72">
        <v>0.05</v>
      </c>
      <c r="K160" s="67" t="s">
        <v>5</v>
      </c>
    </row>
    <row r="161" spans="1:11" s="181" customFormat="1" ht="26.25" customHeight="1">
      <c r="A161" s="64" t="s">
        <v>130</v>
      </c>
      <c r="B161" s="66">
        <v>43644</v>
      </c>
      <c r="C161" s="71">
        <v>5</v>
      </c>
      <c r="D161" s="12" t="s">
        <v>644</v>
      </c>
      <c r="E161" s="12" t="s">
        <v>414</v>
      </c>
      <c r="F161" s="65">
        <v>44377</v>
      </c>
      <c r="G161" s="65">
        <v>44392</v>
      </c>
      <c r="H161" s="65">
        <v>44397</v>
      </c>
      <c r="I161" s="75">
        <v>0.01</v>
      </c>
      <c r="J161" s="72">
        <v>0.05</v>
      </c>
      <c r="K161" s="67" t="s">
        <v>5</v>
      </c>
    </row>
    <row r="162" spans="1:11" s="181" customFormat="1" ht="26.25" customHeight="1">
      <c r="A162" s="64" t="s">
        <v>81</v>
      </c>
      <c r="B162" s="66">
        <v>42143</v>
      </c>
      <c r="C162" s="71">
        <v>100</v>
      </c>
      <c r="D162" s="12" t="s">
        <v>607</v>
      </c>
      <c r="E162" s="12" t="s">
        <v>414</v>
      </c>
      <c r="F162" s="65">
        <v>44396</v>
      </c>
      <c r="G162" s="65">
        <v>44397</v>
      </c>
      <c r="H162" s="65">
        <v>44400</v>
      </c>
      <c r="I162" s="75"/>
      <c r="J162" s="72">
        <v>0</v>
      </c>
      <c r="K162" s="67" t="s">
        <v>6</v>
      </c>
    </row>
    <row r="163" spans="1:11" s="181" customFormat="1" ht="15">
      <c r="A163" s="64" t="s">
        <v>317</v>
      </c>
      <c r="B163" s="66">
        <v>43686</v>
      </c>
      <c r="C163" s="71">
        <v>100</v>
      </c>
      <c r="D163" s="68" t="s">
        <v>551</v>
      </c>
      <c r="E163" s="12" t="s">
        <v>414</v>
      </c>
      <c r="F163" s="65">
        <v>44417</v>
      </c>
      <c r="G163" s="65">
        <v>44418</v>
      </c>
      <c r="H163" s="65">
        <v>44421</v>
      </c>
      <c r="I163" s="75"/>
      <c r="J163" s="72">
        <v>2.5</v>
      </c>
      <c r="K163" s="67" t="s">
        <v>129</v>
      </c>
    </row>
    <row r="164" spans="1:11" s="181" customFormat="1" ht="22.5" customHeight="1">
      <c r="A164" s="64" t="s">
        <v>46</v>
      </c>
      <c r="B164" s="66">
        <v>42943</v>
      </c>
      <c r="C164" s="71">
        <v>5</v>
      </c>
      <c r="D164" s="68" t="s">
        <v>647</v>
      </c>
      <c r="E164" s="12" t="s">
        <v>414</v>
      </c>
      <c r="F164" s="65">
        <v>44407</v>
      </c>
      <c r="G164" s="65">
        <v>44424</v>
      </c>
      <c r="H164" s="65">
        <v>44427</v>
      </c>
      <c r="I164" s="75">
        <v>0.02</v>
      </c>
      <c r="J164" s="72">
        <v>0.1</v>
      </c>
      <c r="K164" s="67" t="s">
        <v>5</v>
      </c>
    </row>
    <row r="165" spans="1:11" s="176" customFormat="1" ht="26.25" customHeight="1">
      <c r="A165" s="79" t="s">
        <v>552</v>
      </c>
      <c r="B165" s="80">
        <v>44043</v>
      </c>
      <c r="C165" s="81">
        <v>5</v>
      </c>
      <c r="D165" s="245" t="s">
        <v>649</v>
      </c>
      <c r="E165" s="1" t="s">
        <v>422</v>
      </c>
      <c r="F165" s="83">
        <v>44424</v>
      </c>
      <c r="G165" s="83">
        <v>44439</v>
      </c>
      <c r="H165" s="83">
        <v>44442</v>
      </c>
      <c r="I165" s="246" t="s">
        <v>554</v>
      </c>
      <c r="J165" s="247" t="s">
        <v>650</v>
      </c>
      <c r="K165" s="77" t="s">
        <v>5</v>
      </c>
    </row>
    <row r="166" spans="1:11" s="175" customFormat="1" ht="22.5" customHeight="1">
      <c r="A166" s="79" t="s">
        <v>553</v>
      </c>
      <c r="B166" s="80">
        <v>44043</v>
      </c>
      <c r="C166" s="81">
        <v>5</v>
      </c>
      <c r="D166" s="245" t="s">
        <v>651</v>
      </c>
      <c r="E166" s="1" t="s">
        <v>414</v>
      </c>
      <c r="F166" s="83">
        <v>44424</v>
      </c>
      <c r="G166" s="83">
        <v>44439</v>
      </c>
      <c r="H166" s="83">
        <v>44442</v>
      </c>
      <c r="I166" s="246">
        <v>0.006</v>
      </c>
      <c r="J166" s="85">
        <v>0.03</v>
      </c>
      <c r="K166" s="77" t="s">
        <v>5</v>
      </c>
    </row>
    <row r="167" spans="1:11" s="175" customFormat="1" ht="27.75" customHeight="1">
      <c r="A167" s="79" t="s">
        <v>64</v>
      </c>
      <c r="B167" s="80">
        <v>43312</v>
      </c>
      <c r="C167" s="81">
        <v>5</v>
      </c>
      <c r="D167" s="82" t="s">
        <v>648</v>
      </c>
      <c r="E167" s="1" t="s">
        <v>414</v>
      </c>
      <c r="F167" s="83">
        <v>44424</v>
      </c>
      <c r="G167" s="83">
        <v>44439</v>
      </c>
      <c r="H167" s="83">
        <v>44442</v>
      </c>
      <c r="I167" s="84">
        <v>0.02</v>
      </c>
      <c r="J167" s="85">
        <v>0.1</v>
      </c>
      <c r="K167" s="77" t="s">
        <v>5</v>
      </c>
    </row>
    <row r="168" spans="1:11" s="175" customFormat="1" ht="24.75" customHeight="1">
      <c r="A168" s="79" t="s">
        <v>32</v>
      </c>
      <c r="B168" s="80">
        <v>42591</v>
      </c>
      <c r="C168" s="81">
        <v>5</v>
      </c>
      <c r="D168" s="82" t="s">
        <v>659</v>
      </c>
      <c r="E168" s="1" t="s">
        <v>414</v>
      </c>
      <c r="F168" s="83">
        <v>44424</v>
      </c>
      <c r="G168" s="83">
        <v>44439</v>
      </c>
      <c r="H168" s="83">
        <v>44442</v>
      </c>
      <c r="I168" s="84">
        <v>0.02</v>
      </c>
      <c r="J168" s="85">
        <v>0.1</v>
      </c>
      <c r="K168" s="77" t="s">
        <v>5</v>
      </c>
    </row>
    <row r="169" spans="1:11" s="175" customFormat="1" ht="22.5" customHeight="1">
      <c r="A169" s="79" t="s">
        <v>319</v>
      </c>
      <c r="B169" s="80">
        <v>43735</v>
      </c>
      <c r="C169" s="81">
        <v>5</v>
      </c>
      <c r="D169" s="82" t="s">
        <v>660</v>
      </c>
      <c r="E169" s="1" t="s">
        <v>414</v>
      </c>
      <c r="F169" s="83">
        <v>44424</v>
      </c>
      <c r="G169" s="83">
        <v>44439</v>
      </c>
      <c r="H169" s="83">
        <v>44442</v>
      </c>
      <c r="I169" s="84">
        <v>0.009</v>
      </c>
      <c r="J169" s="85">
        <v>0.045</v>
      </c>
      <c r="K169" s="77" t="s">
        <v>5</v>
      </c>
    </row>
    <row r="170" spans="1:11" s="175" customFormat="1" ht="22.5" customHeight="1">
      <c r="A170" s="79" t="s">
        <v>320</v>
      </c>
      <c r="B170" s="80">
        <v>43735</v>
      </c>
      <c r="C170" s="81">
        <v>5</v>
      </c>
      <c r="D170" s="82" t="s">
        <v>661</v>
      </c>
      <c r="E170" s="1" t="s">
        <v>414</v>
      </c>
      <c r="F170" s="83">
        <v>44424</v>
      </c>
      <c r="G170" s="83">
        <v>44439</v>
      </c>
      <c r="H170" s="83">
        <v>44442</v>
      </c>
      <c r="I170" s="84">
        <v>0.009</v>
      </c>
      <c r="J170" s="85">
        <v>0.045</v>
      </c>
      <c r="K170" s="77" t="s">
        <v>5</v>
      </c>
    </row>
    <row r="171" spans="1:11" s="174" customFormat="1" ht="26.25" customHeight="1">
      <c r="A171" s="64" t="s">
        <v>179</v>
      </c>
      <c r="B171" s="66">
        <v>43544</v>
      </c>
      <c r="C171" s="71">
        <v>5</v>
      </c>
      <c r="D171" s="12" t="s">
        <v>180</v>
      </c>
      <c r="E171" s="12" t="s">
        <v>410</v>
      </c>
      <c r="F171" s="65">
        <v>44469</v>
      </c>
      <c r="G171" s="65">
        <v>44470</v>
      </c>
      <c r="H171" s="65">
        <v>44475</v>
      </c>
      <c r="I171" s="75">
        <v>0.0045</v>
      </c>
      <c r="J171" s="60">
        <v>0.0057</v>
      </c>
      <c r="K171" s="67" t="s">
        <v>8</v>
      </c>
    </row>
    <row r="172" spans="1:11" s="181" customFormat="1" ht="22.5" customHeight="1">
      <c r="A172" s="64" t="s">
        <v>103</v>
      </c>
      <c r="B172" s="66">
        <v>41281</v>
      </c>
      <c r="C172" s="71">
        <v>5</v>
      </c>
      <c r="D172" s="68" t="s">
        <v>579</v>
      </c>
      <c r="E172" s="12" t="s">
        <v>410</v>
      </c>
      <c r="F172" s="65">
        <v>44469</v>
      </c>
      <c r="G172" s="65">
        <v>44470</v>
      </c>
      <c r="H172" s="65">
        <v>44475</v>
      </c>
      <c r="I172" s="75">
        <v>0.001</v>
      </c>
      <c r="J172" s="60">
        <v>0.0019</v>
      </c>
      <c r="K172" s="67" t="s">
        <v>500</v>
      </c>
    </row>
    <row r="173" spans="1:11" s="181" customFormat="1" ht="22.5" customHeight="1">
      <c r="A173" s="64" t="s">
        <v>106</v>
      </c>
      <c r="B173" s="66">
        <v>41281</v>
      </c>
      <c r="C173" s="71">
        <v>5</v>
      </c>
      <c r="D173" s="68" t="s">
        <v>580</v>
      </c>
      <c r="E173" s="12" t="s">
        <v>410</v>
      </c>
      <c r="F173" s="65">
        <v>44469</v>
      </c>
      <c r="G173" s="65">
        <v>44470</v>
      </c>
      <c r="H173" s="65">
        <v>44475</v>
      </c>
      <c r="I173" s="75">
        <v>0.001</v>
      </c>
      <c r="J173" s="60">
        <v>0.0015</v>
      </c>
      <c r="K173" s="67" t="s">
        <v>500</v>
      </c>
    </row>
    <row r="174" spans="1:11" s="174" customFormat="1" ht="26.25" customHeight="1">
      <c r="A174" s="138" t="s">
        <v>82</v>
      </c>
      <c r="B174" s="121">
        <v>42220</v>
      </c>
      <c r="C174" s="143">
        <v>100</v>
      </c>
      <c r="D174" s="144" t="s">
        <v>608</v>
      </c>
      <c r="E174" s="135" t="s">
        <v>414</v>
      </c>
      <c r="F174" s="65">
        <v>44473</v>
      </c>
      <c r="G174" s="65">
        <v>44474</v>
      </c>
      <c r="H174" s="65">
        <v>44477</v>
      </c>
      <c r="I174" s="75"/>
      <c r="J174" s="72">
        <v>0</v>
      </c>
      <c r="K174" s="97" t="s">
        <v>6</v>
      </c>
    </row>
    <row r="175" spans="1:11" s="174" customFormat="1" ht="26.25" customHeight="1">
      <c r="A175" s="64" t="s">
        <v>322</v>
      </c>
      <c r="B175" s="66">
        <v>43735</v>
      </c>
      <c r="C175" s="71">
        <v>5</v>
      </c>
      <c r="D175" s="180" t="s">
        <v>585</v>
      </c>
      <c r="E175" s="12" t="s">
        <v>422</v>
      </c>
      <c r="F175" s="65">
        <v>44469</v>
      </c>
      <c r="G175" s="65">
        <v>44484</v>
      </c>
      <c r="H175" s="65">
        <v>44489</v>
      </c>
      <c r="I175" s="75" t="s">
        <v>567</v>
      </c>
      <c r="J175" s="60">
        <v>0.1698</v>
      </c>
      <c r="K175" s="67" t="s">
        <v>328</v>
      </c>
    </row>
    <row r="176" spans="1:11" s="174" customFormat="1" ht="26.25" customHeight="1">
      <c r="A176" s="64" t="s">
        <v>323</v>
      </c>
      <c r="B176" s="66">
        <v>43735</v>
      </c>
      <c r="C176" s="105">
        <v>5</v>
      </c>
      <c r="D176" s="180" t="s">
        <v>584</v>
      </c>
      <c r="E176" s="12" t="s">
        <v>414</v>
      </c>
      <c r="F176" s="65">
        <v>44469</v>
      </c>
      <c r="G176" s="65">
        <v>44484</v>
      </c>
      <c r="H176" s="65">
        <v>44489</v>
      </c>
      <c r="I176" s="75">
        <v>0.0155</v>
      </c>
      <c r="J176" s="60">
        <v>0.0775</v>
      </c>
      <c r="K176" s="67" t="s">
        <v>328</v>
      </c>
    </row>
    <row r="177" spans="1:11" s="174" customFormat="1" ht="26.25" customHeight="1">
      <c r="A177" s="64" t="s">
        <v>321</v>
      </c>
      <c r="B177" s="66">
        <v>43735</v>
      </c>
      <c r="C177" s="105">
        <v>5</v>
      </c>
      <c r="D177" s="180" t="s">
        <v>586</v>
      </c>
      <c r="E177" s="12" t="s">
        <v>422</v>
      </c>
      <c r="F177" s="65">
        <v>44469</v>
      </c>
      <c r="G177" s="65">
        <v>44484</v>
      </c>
      <c r="H177" s="65">
        <v>44489</v>
      </c>
      <c r="I177" s="75" t="s">
        <v>568</v>
      </c>
      <c r="J177" s="60">
        <v>0.1792</v>
      </c>
      <c r="K177" s="67" t="s">
        <v>328</v>
      </c>
    </row>
    <row r="178" spans="1:11" s="174" customFormat="1" ht="26.25" customHeight="1">
      <c r="A178" s="138" t="s">
        <v>548</v>
      </c>
      <c r="B178" s="121">
        <v>44104</v>
      </c>
      <c r="C178" s="143">
        <v>5</v>
      </c>
      <c r="D178" s="254" t="s">
        <v>652</v>
      </c>
      <c r="E178" s="135" t="s">
        <v>422</v>
      </c>
      <c r="F178" s="65">
        <v>44469</v>
      </c>
      <c r="G178" s="65">
        <v>44484</v>
      </c>
      <c r="H178" s="65">
        <v>44489</v>
      </c>
      <c r="I178" s="182" t="s">
        <v>571</v>
      </c>
      <c r="J178" s="60">
        <v>0.0707</v>
      </c>
      <c r="K178" s="97" t="s">
        <v>5</v>
      </c>
    </row>
    <row r="179" spans="1:11" s="181" customFormat="1" ht="22.5" customHeight="1">
      <c r="A179" s="64" t="s">
        <v>550</v>
      </c>
      <c r="B179" s="66">
        <v>44104</v>
      </c>
      <c r="C179" s="71">
        <v>5</v>
      </c>
      <c r="D179" s="180" t="s">
        <v>653</v>
      </c>
      <c r="E179" s="12" t="s">
        <v>414</v>
      </c>
      <c r="F179" s="65">
        <v>44469</v>
      </c>
      <c r="G179" s="65">
        <v>44484</v>
      </c>
      <c r="H179" s="65">
        <v>44489</v>
      </c>
      <c r="I179" s="182">
        <v>0.01</v>
      </c>
      <c r="J179" s="72">
        <v>0.05</v>
      </c>
      <c r="K179" s="67" t="s">
        <v>5</v>
      </c>
    </row>
    <row r="180" spans="1:11" s="174" customFormat="1" ht="26.25" customHeight="1">
      <c r="A180" s="64" t="s">
        <v>549</v>
      </c>
      <c r="B180" s="66">
        <v>44104</v>
      </c>
      <c r="C180" s="105">
        <v>5</v>
      </c>
      <c r="D180" s="180" t="s">
        <v>654</v>
      </c>
      <c r="E180" s="12" t="s">
        <v>414</v>
      </c>
      <c r="F180" s="65">
        <v>44469</v>
      </c>
      <c r="G180" s="65">
        <v>44484</v>
      </c>
      <c r="H180" s="65">
        <v>44489</v>
      </c>
      <c r="I180" s="182">
        <v>0.008</v>
      </c>
      <c r="J180" s="72">
        <v>0.04</v>
      </c>
      <c r="K180" s="67" t="s">
        <v>5</v>
      </c>
    </row>
    <row r="181" spans="1:11" s="174" customFormat="1" ht="26.25" customHeight="1">
      <c r="A181" s="64" t="s">
        <v>47</v>
      </c>
      <c r="B181" s="66">
        <v>43007</v>
      </c>
      <c r="C181" s="105">
        <v>5</v>
      </c>
      <c r="D181" s="68" t="s">
        <v>662</v>
      </c>
      <c r="E181" s="12" t="s">
        <v>414</v>
      </c>
      <c r="F181" s="65">
        <v>44469</v>
      </c>
      <c r="G181" s="65">
        <v>44484</v>
      </c>
      <c r="H181" s="65">
        <v>44489</v>
      </c>
      <c r="I181" s="75">
        <v>0.02</v>
      </c>
      <c r="J181" s="60">
        <v>0.1</v>
      </c>
      <c r="K181" s="67" t="s">
        <v>5</v>
      </c>
    </row>
    <row r="182" spans="1:11" s="174" customFormat="1" ht="26.25" customHeight="1">
      <c r="A182" s="64" t="s">
        <v>33</v>
      </c>
      <c r="B182" s="66">
        <v>42643</v>
      </c>
      <c r="C182" s="105">
        <v>5</v>
      </c>
      <c r="D182" s="68" t="s">
        <v>663</v>
      </c>
      <c r="E182" s="12" t="s">
        <v>414</v>
      </c>
      <c r="F182" s="65">
        <v>44469</v>
      </c>
      <c r="G182" s="65">
        <v>44484</v>
      </c>
      <c r="H182" s="65">
        <v>44489</v>
      </c>
      <c r="I182" s="75">
        <v>0.02</v>
      </c>
      <c r="J182" s="60">
        <v>0.1</v>
      </c>
      <c r="K182" s="67" t="s">
        <v>5</v>
      </c>
    </row>
    <row r="183" spans="1:11" s="177" customFormat="1" ht="22.5" customHeight="1">
      <c r="A183" s="64" t="s">
        <v>66</v>
      </c>
      <c r="B183" s="66">
        <v>43371</v>
      </c>
      <c r="C183" s="71">
        <v>5</v>
      </c>
      <c r="D183" s="68" t="s">
        <v>664</v>
      </c>
      <c r="E183" s="12" t="s">
        <v>414</v>
      </c>
      <c r="F183" s="65">
        <v>44469</v>
      </c>
      <c r="G183" s="65">
        <v>44484</v>
      </c>
      <c r="H183" s="65">
        <v>44489</v>
      </c>
      <c r="I183" s="75">
        <v>0.017</v>
      </c>
      <c r="J183" s="60">
        <v>0.085</v>
      </c>
      <c r="K183" s="67" t="s">
        <v>5</v>
      </c>
    </row>
    <row r="184" spans="1:11" s="174" customFormat="1" ht="26.25" customHeight="1">
      <c r="A184" s="64" t="s">
        <v>65</v>
      </c>
      <c r="B184" s="66">
        <v>43371</v>
      </c>
      <c r="C184" s="105">
        <v>5</v>
      </c>
      <c r="D184" s="68" t="s">
        <v>665</v>
      </c>
      <c r="E184" s="12" t="s">
        <v>414</v>
      </c>
      <c r="F184" s="65">
        <v>44469</v>
      </c>
      <c r="G184" s="65">
        <v>44484</v>
      </c>
      <c r="H184" s="65">
        <v>44489</v>
      </c>
      <c r="I184" s="75">
        <v>0.02</v>
      </c>
      <c r="J184" s="60">
        <v>0.1</v>
      </c>
      <c r="K184" s="67" t="s">
        <v>5</v>
      </c>
    </row>
    <row r="185" spans="1:11" s="174" customFormat="1" ht="26.25" customHeight="1">
      <c r="A185" s="122" t="s">
        <v>48</v>
      </c>
      <c r="B185" s="123">
        <v>43035</v>
      </c>
      <c r="C185" s="124">
        <v>5</v>
      </c>
      <c r="D185" s="125" t="s">
        <v>666</v>
      </c>
      <c r="E185" s="126" t="s">
        <v>414</v>
      </c>
      <c r="F185" s="83">
        <v>44498</v>
      </c>
      <c r="G185" s="83">
        <v>44515</v>
      </c>
      <c r="H185" s="83">
        <v>44518</v>
      </c>
      <c r="I185" s="84">
        <v>0.02</v>
      </c>
      <c r="J185" s="85">
        <v>0.1</v>
      </c>
      <c r="K185" s="127" t="s">
        <v>5</v>
      </c>
    </row>
    <row r="186" spans="1:11" s="174" customFormat="1" ht="26.25" customHeight="1">
      <c r="A186" s="118" t="s">
        <v>577</v>
      </c>
      <c r="B186" s="259">
        <v>44134</v>
      </c>
      <c r="C186" s="260">
        <v>5</v>
      </c>
      <c r="D186" s="261" t="s">
        <v>657</v>
      </c>
      <c r="E186" s="119" t="s">
        <v>414</v>
      </c>
      <c r="F186" s="262">
        <v>44515</v>
      </c>
      <c r="G186" s="262">
        <v>44530</v>
      </c>
      <c r="H186" s="262">
        <v>44533</v>
      </c>
      <c r="I186" s="263">
        <v>0.009</v>
      </c>
      <c r="J186" s="264">
        <v>0.045</v>
      </c>
      <c r="K186" s="265" t="s">
        <v>5</v>
      </c>
    </row>
    <row r="187" spans="1:11" s="174" customFormat="1" ht="26.25" customHeight="1">
      <c r="A187" s="118" t="s">
        <v>67</v>
      </c>
      <c r="B187" s="259">
        <v>43404</v>
      </c>
      <c r="C187" s="260">
        <v>5</v>
      </c>
      <c r="D187" s="266" t="s">
        <v>667</v>
      </c>
      <c r="E187" s="119" t="s">
        <v>414</v>
      </c>
      <c r="F187" s="262">
        <v>44515</v>
      </c>
      <c r="G187" s="262">
        <v>44530</v>
      </c>
      <c r="H187" s="262">
        <v>44533</v>
      </c>
      <c r="I187" s="267">
        <v>0.02</v>
      </c>
      <c r="J187" s="264">
        <v>0.1</v>
      </c>
      <c r="K187" s="265" t="s">
        <v>5</v>
      </c>
    </row>
    <row r="188" spans="1:11" s="174" customFormat="1" ht="26.25" customHeight="1">
      <c r="A188" s="118" t="s">
        <v>326</v>
      </c>
      <c r="B188" s="259">
        <v>43769</v>
      </c>
      <c r="C188" s="260">
        <v>5</v>
      </c>
      <c r="D188" s="261" t="s">
        <v>668</v>
      </c>
      <c r="E188" s="119" t="s">
        <v>422</v>
      </c>
      <c r="F188" s="262">
        <v>44515</v>
      </c>
      <c r="G188" s="262">
        <v>44530</v>
      </c>
      <c r="H188" s="262">
        <v>44533</v>
      </c>
      <c r="I188" s="263" t="s">
        <v>526</v>
      </c>
      <c r="J188" s="268">
        <v>0.173</v>
      </c>
      <c r="K188" s="265" t="s">
        <v>329</v>
      </c>
    </row>
    <row r="189" spans="1:11" s="174" customFormat="1" ht="26.25" customHeight="1">
      <c r="A189" s="118" t="s">
        <v>324</v>
      </c>
      <c r="B189" s="259">
        <v>43769</v>
      </c>
      <c r="C189" s="260">
        <v>5</v>
      </c>
      <c r="D189" s="261" t="s">
        <v>669</v>
      </c>
      <c r="E189" s="119" t="s">
        <v>422</v>
      </c>
      <c r="F189" s="262">
        <v>44515</v>
      </c>
      <c r="G189" s="262">
        <v>44530</v>
      </c>
      <c r="H189" s="262">
        <v>44533</v>
      </c>
      <c r="I189" s="262" t="s">
        <v>674</v>
      </c>
      <c r="J189" s="269">
        <v>0.1828</v>
      </c>
      <c r="K189" s="265" t="s">
        <v>329</v>
      </c>
    </row>
    <row r="190" spans="1:11" s="174" customFormat="1" ht="26.25" customHeight="1">
      <c r="A190" s="118" t="s">
        <v>325</v>
      </c>
      <c r="B190" s="259">
        <v>43769</v>
      </c>
      <c r="C190" s="260">
        <v>5</v>
      </c>
      <c r="D190" s="261" t="s">
        <v>670</v>
      </c>
      <c r="E190" s="119" t="s">
        <v>414</v>
      </c>
      <c r="F190" s="262">
        <v>44515</v>
      </c>
      <c r="G190" s="262">
        <v>44530</v>
      </c>
      <c r="H190" s="262">
        <v>44533</v>
      </c>
      <c r="I190" s="267">
        <v>0.01</v>
      </c>
      <c r="J190" s="264">
        <v>0.05</v>
      </c>
      <c r="K190" s="265" t="s">
        <v>329</v>
      </c>
    </row>
    <row r="191" spans="1:11" s="174" customFormat="1" ht="26.25" customHeight="1">
      <c r="A191" s="118" t="s">
        <v>34</v>
      </c>
      <c r="B191" s="259">
        <v>42682</v>
      </c>
      <c r="C191" s="260">
        <v>5</v>
      </c>
      <c r="D191" s="266" t="s">
        <v>671</v>
      </c>
      <c r="E191" s="119" t="s">
        <v>414</v>
      </c>
      <c r="F191" s="262">
        <v>44515</v>
      </c>
      <c r="G191" s="262">
        <v>44530</v>
      </c>
      <c r="H191" s="262">
        <v>44533</v>
      </c>
      <c r="I191" s="267">
        <v>0.02</v>
      </c>
      <c r="J191" s="264">
        <v>0.1</v>
      </c>
      <c r="K191" s="265" t="s">
        <v>5</v>
      </c>
    </row>
    <row r="192" spans="1:11" s="174" customFormat="1" ht="26.25" customHeight="1">
      <c r="A192" s="51" t="s">
        <v>569</v>
      </c>
      <c r="B192" s="50">
        <v>44134</v>
      </c>
      <c r="C192" s="53">
        <v>5</v>
      </c>
      <c r="D192" s="173" t="s">
        <v>655</v>
      </c>
      <c r="E192" s="48" t="s">
        <v>422</v>
      </c>
      <c r="F192" s="49">
        <v>44530</v>
      </c>
      <c r="G192" s="49">
        <v>44545</v>
      </c>
      <c r="H192" s="49">
        <v>44550</v>
      </c>
      <c r="I192" s="172" t="s">
        <v>578</v>
      </c>
      <c r="J192" s="190" t="s">
        <v>656</v>
      </c>
      <c r="K192" s="45" t="s">
        <v>5</v>
      </c>
    </row>
    <row r="193" spans="1:11" s="177" customFormat="1" ht="22.5" customHeight="1">
      <c r="A193" s="51" t="s">
        <v>332</v>
      </c>
      <c r="B193" s="50">
        <v>43798</v>
      </c>
      <c r="C193" s="53">
        <v>5</v>
      </c>
      <c r="D193" s="173" t="s">
        <v>672</v>
      </c>
      <c r="E193" s="48" t="s">
        <v>422</v>
      </c>
      <c r="F193" s="49">
        <v>44530</v>
      </c>
      <c r="G193" s="49">
        <v>44545</v>
      </c>
      <c r="H193" s="49">
        <v>44550</v>
      </c>
      <c r="I193" s="54" t="s">
        <v>675</v>
      </c>
      <c r="J193" s="190" t="s">
        <v>673</v>
      </c>
      <c r="K193" s="52" t="s">
        <v>329</v>
      </c>
    </row>
    <row r="194" spans="1:11" s="174" customFormat="1" ht="26.25" customHeight="1">
      <c r="A194" s="51" t="s">
        <v>330</v>
      </c>
      <c r="B194" s="50">
        <v>43798</v>
      </c>
      <c r="C194" s="53">
        <v>5</v>
      </c>
      <c r="D194" s="173" t="s">
        <v>677</v>
      </c>
      <c r="E194" s="48" t="s">
        <v>422</v>
      </c>
      <c r="F194" s="49">
        <v>44530</v>
      </c>
      <c r="G194" s="49">
        <v>44545</v>
      </c>
      <c r="H194" s="49">
        <v>44548</v>
      </c>
      <c r="I194" s="54" t="s">
        <v>676</v>
      </c>
      <c r="J194" s="192" t="s">
        <v>678</v>
      </c>
      <c r="K194" s="45" t="s">
        <v>329</v>
      </c>
    </row>
    <row r="195" spans="1:11" s="174" customFormat="1" ht="26.25" customHeight="1">
      <c r="A195" s="51" t="s">
        <v>331</v>
      </c>
      <c r="B195" s="50">
        <v>43798</v>
      </c>
      <c r="C195" s="53">
        <v>5</v>
      </c>
      <c r="D195" s="173" t="s">
        <v>679</v>
      </c>
      <c r="E195" s="48" t="s">
        <v>414</v>
      </c>
      <c r="F195" s="49">
        <v>44530</v>
      </c>
      <c r="G195" s="49">
        <v>44545</v>
      </c>
      <c r="H195" s="49">
        <v>44550</v>
      </c>
      <c r="I195" s="54">
        <v>0.011</v>
      </c>
      <c r="J195" s="55">
        <v>0.055</v>
      </c>
      <c r="K195" s="45" t="s">
        <v>329</v>
      </c>
    </row>
    <row r="196" spans="1:11" s="181" customFormat="1" ht="30" customHeight="1">
      <c r="A196" s="51" t="s">
        <v>69</v>
      </c>
      <c r="B196" s="50">
        <v>43434</v>
      </c>
      <c r="C196" s="53">
        <v>5.2</v>
      </c>
      <c r="D196" s="47" t="s">
        <v>680</v>
      </c>
      <c r="E196" s="48" t="s">
        <v>414</v>
      </c>
      <c r="F196" s="49">
        <v>44530</v>
      </c>
      <c r="G196" s="49">
        <v>44545</v>
      </c>
      <c r="H196" s="49">
        <v>44550</v>
      </c>
      <c r="I196" s="54">
        <v>0.017</v>
      </c>
      <c r="J196" s="55">
        <v>0.085</v>
      </c>
      <c r="K196" s="45" t="s">
        <v>5</v>
      </c>
    </row>
    <row r="197" spans="1:11" s="181" customFormat="1" ht="26.25" customHeight="1">
      <c r="A197" s="195" t="s">
        <v>49</v>
      </c>
      <c r="B197" s="196">
        <v>43084</v>
      </c>
      <c r="C197" s="44">
        <v>5</v>
      </c>
      <c r="D197" s="47" t="s">
        <v>681</v>
      </c>
      <c r="E197" s="47" t="s">
        <v>414</v>
      </c>
      <c r="F197" s="49">
        <v>44545</v>
      </c>
      <c r="G197" s="49">
        <v>44561</v>
      </c>
      <c r="H197" s="49">
        <v>44567</v>
      </c>
      <c r="I197" s="54">
        <v>0.02</v>
      </c>
      <c r="J197" s="55">
        <v>0.1</v>
      </c>
      <c r="K197" s="47" t="s">
        <v>5</v>
      </c>
    </row>
    <row r="198" spans="1:11" s="174" customFormat="1" ht="26.25" customHeight="1">
      <c r="A198" s="51" t="s">
        <v>50</v>
      </c>
      <c r="B198" s="50">
        <v>42724</v>
      </c>
      <c r="C198" s="53">
        <v>50</v>
      </c>
      <c r="D198" s="47" t="s">
        <v>587</v>
      </c>
      <c r="E198" s="48" t="s">
        <v>414</v>
      </c>
      <c r="F198" s="49">
        <v>44550</v>
      </c>
      <c r="G198" s="49">
        <v>44551</v>
      </c>
      <c r="H198" s="49">
        <v>44558</v>
      </c>
      <c r="I198" s="54">
        <v>0.025</v>
      </c>
      <c r="J198" s="55">
        <v>1.25</v>
      </c>
      <c r="K198" s="45"/>
    </row>
    <row r="199" spans="1:11" s="181" customFormat="1" ht="26.25" customHeight="1">
      <c r="A199" s="51" t="s">
        <v>179</v>
      </c>
      <c r="B199" s="50">
        <v>43544</v>
      </c>
      <c r="C199" s="53">
        <v>5</v>
      </c>
      <c r="D199" s="47" t="s">
        <v>180</v>
      </c>
      <c r="E199" s="48" t="s">
        <v>410</v>
      </c>
      <c r="F199" s="49">
        <v>44561</v>
      </c>
      <c r="G199" s="49">
        <v>44564</v>
      </c>
      <c r="H199" s="49">
        <v>44567</v>
      </c>
      <c r="I199" s="54">
        <v>0.0045</v>
      </c>
      <c r="J199" s="46">
        <v>0.0057</v>
      </c>
      <c r="K199" s="45" t="s">
        <v>8</v>
      </c>
    </row>
    <row r="200" spans="1:11" s="181" customFormat="1" ht="26.25" customHeight="1">
      <c r="A200" s="51" t="s">
        <v>103</v>
      </c>
      <c r="B200" s="50">
        <v>41281</v>
      </c>
      <c r="C200" s="53">
        <v>5</v>
      </c>
      <c r="D200" s="47" t="s">
        <v>579</v>
      </c>
      <c r="E200" s="47" t="s">
        <v>410</v>
      </c>
      <c r="F200" s="49">
        <v>44561</v>
      </c>
      <c r="G200" s="49">
        <v>44564</v>
      </c>
      <c r="H200" s="49">
        <v>44567</v>
      </c>
      <c r="I200" s="54">
        <v>0.001</v>
      </c>
      <c r="J200" s="46">
        <v>0.0019</v>
      </c>
      <c r="K200" s="45" t="s">
        <v>500</v>
      </c>
    </row>
    <row r="201" spans="1:11" s="174" customFormat="1" ht="22.5" customHeight="1">
      <c r="A201" s="51" t="s">
        <v>106</v>
      </c>
      <c r="B201" s="50">
        <v>41281</v>
      </c>
      <c r="C201" s="53">
        <v>5</v>
      </c>
      <c r="D201" s="47" t="s">
        <v>580</v>
      </c>
      <c r="E201" s="47" t="s">
        <v>410</v>
      </c>
      <c r="F201" s="49">
        <v>44561</v>
      </c>
      <c r="G201" s="49">
        <v>44564</v>
      </c>
      <c r="H201" s="49">
        <v>44567</v>
      </c>
      <c r="I201" s="54">
        <v>0.001</v>
      </c>
      <c r="J201" s="46">
        <v>0.0015</v>
      </c>
      <c r="K201" s="45" t="s">
        <v>500</v>
      </c>
    </row>
    <row r="202" spans="1:11" s="174" customFormat="1" ht="26.25" customHeight="1">
      <c r="A202" s="51" t="s">
        <v>576</v>
      </c>
      <c r="B202" s="50">
        <v>44183</v>
      </c>
      <c r="C202" s="53">
        <v>5</v>
      </c>
      <c r="D202" s="173" t="s">
        <v>658</v>
      </c>
      <c r="E202" s="48" t="s">
        <v>414</v>
      </c>
      <c r="F202" s="49">
        <v>44561</v>
      </c>
      <c r="G202" s="49">
        <v>44578</v>
      </c>
      <c r="H202" s="49">
        <v>44581</v>
      </c>
      <c r="I202" s="172">
        <v>0.0055</v>
      </c>
      <c r="J202" s="55">
        <v>0.027500000000000004</v>
      </c>
      <c r="K202" s="45" t="s">
        <v>5</v>
      </c>
    </row>
    <row r="203" spans="1:11" s="174" customFormat="1" ht="26.25" customHeight="1">
      <c r="A203" s="185" t="s">
        <v>35</v>
      </c>
      <c r="B203" s="186">
        <v>42720</v>
      </c>
      <c r="C203" s="187">
        <v>5</v>
      </c>
      <c r="D203" s="188" t="s">
        <v>682</v>
      </c>
      <c r="E203" s="189" t="s">
        <v>414</v>
      </c>
      <c r="F203" s="49">
        <v>44561</v>
      </c>
      <c r="G203" s="49">
        <v>44578</v>
      </c>
      <c r="H203" s="49">
        <v>44581</v>
      </c>
      <c r="I203" s="54">
        <v>0.02</v>
      </c>
      <c r="J203" s="55">
        <v>0.1</v>
      </c>
      <c r="K203" s="52" t="s">
        <v>5</v>
      </c>
    </row>
    <row r="204" spans="1:11" s="174" customFormat="1" ht="26.25" customHeight="1">
      <c r="A204" s="51" t="s">
        <v>68</v>
      </c>
      <c r="B204" s="50">
        <v>43454</v>
      </c>
      <c r="C204" s="53">
        <v>5</v>
      </c>
      <c r="D204" s="47" t="s">
        <v>594</v>
      </c>
      <c r="E204" s="48" t="s">
        <v>414</v>
      </c>
      <c r="F204" s="49">
        <v>44561</v>
      </c>
      <c r="G204" s="49">
        <v>44578</v>
      </c>
      <c r="H204" s="49">
        <v>44581</v>
      </c>
      <c r="I204" s="54">
        <v>0.02</v>
      </c>
      <c r="J204" s="55">
        <v>0.1</v>
      </c>
      <c r="K204" s="45" t="s">
        <v>5</v>
      </c>
    </row>
    <row r="205" spans="1:11" s="177" customFormat="1" ht="22.5" customHeight="1">
      <c r="A205" s="51" t="s">
        <v>523</v>
      </c>
      <c r="B205" s="50">
        <v>43819</v>
      </c>
      <c r="C205" s="53">
        <v>5</v>
      </c>
      <c r="D205" s="173" t="s">
        <v>595</v>
      </c>
      <c r="E205" s="48" t="s">
        <v>414</v>
      </c>
      <c r="F205" s="194">
        <v>44561</v>
      </c>
      <c r="G205" s="194">
        <v>44578</v>
      </c>
      <c r="H205" s="194">
        <v>44581</v>
      </c>
      <c r="I205" s="193">
        <v>0.008</v>
      </c>
      <c r="J205" s="190">
        <v>0.04</v>
      </c>
      <c r="K205" s="45" t="s">
        <v>5</v>
      </c>
    </row>
  </sheetData>
  <sheetProtection/>
  <autoFilter ref="A5:K208"/>
  <printOptions/>
  <pageMargins left="0.7" right="0.7" top="0.75" bottom="0.75" header="0.3" footer="0.3"/>
  <pageSetup fitToHeight="0" fitToWidth="1" horizontalDpi="600" verticalDpi="600" orientation="landscape" paperSize="9" scale="4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8" zoomScaleNormal="78" zoomScalePageLayoutView="0" workbookViewId="0" topLeftCell="A1">
      <selection activeCell="D6" sqref="D6"/>
    </sheetView>
  </sheetViews>
  <sheetFormatPr defaultColWidth="9.140625" defaultRowHeight="15"/>
  <cols>
    <col min="1" max="1" width="17.57421875" style="0" customWidth="1"/>
    <col min="2" max="2" width="15.57421875" style="0" customWidth="1"/>
    <col min="3" max="3" width="12.8515625" style="0" customWidth="1"/>
    <col min="4" max="4" width="91.8515625" style="0" bestFit="1" customWidth="1"/>
    <col min="5" max="5" width="15.00390625" style="0" customWidth="1"/>
    <col min="6" max="6" width="21.57421875" style="0" customWidth="1"/>
    <col min="7" max="7" width="17.140625" style="0" customWidth="1"/>
    <col min="8" max="8" width="19.8515625" style="0" customWidth="1"/>
    <col min="9" max="10" width="13.140625" style="0" customWidth="1"/>
    <col min="11" max="11" width="39.421875" style="0" customWidth="1"/>
  </cols>
  <sheetData>
    <row r="1" spans="2:14" s="3" customFormat="1" ht="23.25" customHeight="1">
      <c r="B1" s="5"/>
      <c r="C1" s="7"/>
      <c r="D1" s="5"/>
      <c r="E1" s="2"/>
      <c r="F1" s="5"/>
      <c r="G1" s="2"/>
      <c r="H1" s="2"/>
      <c r="I1" s="38"/>
      <c r="J1" s="38"/>
      <c r="K1" s="38"/>
      <c r="L1" s="38"/>
      <c r="M1" s="38"/>
      <c r="N1" s="8"/>
    </row>
    <row r="2" spans="2:14" s="3" customFormat="1" ht="23.25" customHeight="1">
      <c r="B2" s="5"/>
      <c r="C2" s="7"/>
      <c r="D2" s="5"/>
      <c r="E2" s="2"/>
      <c r="F2" s="5"/>
      <c r="G2" s="2"/>
      <c r="H2" s="2"/>
      <c r="I2" s="38"/>
      <c r="J2" s="38"/>
      <c r="K2" s="38"/>
      <c r="L2" s="38"/>
      <c r="M2" s="38"/>
      <c r="N2" s="8"/>
    </row>
    <row r="3" spans="2:14" s="3" customFormat="1" ht="23.25" customHeight="1">
      <c r="B3" s="5"/>
      <c r="C3" s="7"/>
      <c r="D3" s="5"/>
      <c r="E3" s="2"/>
      <c r="F3" s="5"/>
      <c r="G3" s="2"/>
      <c r="H3" s="2"/>
      <c r="I3" s="38"/>
      <c r="J3" s="38"/>
      <c r="K3" s="38"/>
      <c r="L3" s="38"/>
      <c r="M3" s="38"/>
      <c r="N3" s="8"/>
    </row>
    <row r="4" spans="2:14" s="3" customFormat="1" ht="23.25" customHeight="1">
      <c r="B4" s="5"/>
      <c r="C4" s="7"/>
      <c r="D4" s="5"/>
      <c r="E4" s="2"/>
      <c r="F4" s="5"/>
      <c r="G4" s="2"/>
      <c r="H4" s="2"/>
      <c r="I4" s="38"/>
      <c r="J4" s="38"/>
      <c r="K4" s="38"/>
      <c r="L4" s="38"/>
      <c r="M4" s="38"/>
      <c r="N4" s="8"/>
    </row>
    <row r="5" spans="1:11" s="14" customFormat="1" ht="82.5">
      <c r="A5" s="208" t="s">
        <v>0</v>
      </c>
      <c r="B5" s="219" t="s">
        <v>712</v>
      </c>
      <c r="C5" s="208" t="s">
        <v>421</v>
      </c>
      <c r="D5" s="208" t="s">
        <v>1</v>
      </c>
      <c r="E5" s="208" t="s">
        <v>2</v>
      </c>
      <c r="F5" s="210" t="s">
        <v>702</v>
      </c>
      <c r="G5" s="210" t="s">
        <v>703</v>
      </c>
      <c r="H5" s="211" t="s">
        <v>714</v>
      </c>
      <c r="I5" s="213" t="s">
        <v>706</v>
      </c>
      <c r="J5" s="213" t="s">
        <v>713</v>
      </c>
      <c r="K5" s="208" t="s">
        <v>3</v>
      </c>
    </row>
    <row r="6" spans="1:11" s="146" customFormat="1" ht="23.25" customHeight="1">
      <c r="A6" s="64" t="s">
        <v>683</v>
      </c>
      <c r="B6" s="66">
        <v>43843</v>
      </c>
      <c r="C6" s="71">
        <v>5</v>
      </c>
      <c r="D6" s="68" t="s">
        <v>684</v>
      </c>
      <c r="E6" s="12" t="s">
        <v>414</v>
      </c>
      <c r="F6" s="65">
        <v>44209</v>
      </c>
      <c r="G6" s="65">
        <v>44210</v>
      </c>
      <c r="H6" s="65">
        <v>44215</v>
      </c>
      <c r="I6" s="75">
        <v>0.014</v>
      </c>
      <c r="J6" s="72">
        <v>0.07</v>
      </c>
      <c r="K6" s="97" t="s">
        <v>592</v>
      </c>
    </row>
    <row r="7" spans="1:11" s="146" customFormat="1" ht="22.5" customHeight="1">
      <c r="A7" s="64" t="s">
        <v>589</v>
      </c>
      <c r="B7" s="66">
        <v>43984</v>
      </c>
      <c r="C7" s="71">
        <v>5</v>
      </c>
      <c r="D7" s="68" t="s">
        <v>588</v>
      </c>
      <c r="E7" s="12" t="s">
        <v>414</v>
      </c>
      <c r="F7" s="65">
        <v>44349</v>
      </c>
      <c r="G7" s="65">
        <v>44350</v>
      </c>
      <c r="H7" s="65">
        <v>44355</v>
      </c>
      <c r="I7" s="75">
        <v>0.021</v>
      </c>
      <c r="J7" s="72">
        <v>0.10500000000000001</v>
      </c>
      <c r="K7" s="97" t="s">
        <v>592</v>
      </c>
    </row>
    <row r="8" spans="1:11" s="146" customFormat="1" ht="22.5" customHeight="1">
      <c r="A8" s="64" t="s">
        <v>591</v>
      </c>
      <c r="B8" s="66">
        <v>43984</v>
      </c>
      <c r="C8" s="71">
        <v>5</v>
      </c>
      <c r="D8" s="68" t="s">
        <v>590</v>
      </c>
      <c r="E8" s="12" t="s">
        <v>414</v>
      </c>
      <c r="F8" s="65">
        <v>44349</v>
      </c>
      <c r="G8" s="65">
        <v>44350</v>
      </c>
      <c r="H8" s="65">
        <v>44355</v>
      </c>
      <c r="I8" s="75">
        <v>0.023</v>
      </c>
      <c r="J8" s="72">
        <v>0.11499999999999999</v>
      </c>
      <c r="K8" s="97" t="s">
        <v>592</v>
      </c>
    </row>
    <row r="9" spans="1:11" s="146" customFormat="1" ht="22.5" customHeight="1">
      <c r="A9" s="51" t="s">
        <v>690</v>
      </c>
      <c r="B9" s="50">
        <v>44277</v>
      </c>
      <c r="C9" s="53">
        <v>5</v>
      </c>
      <c r="D9" s="47" t="s">
        <v>689</v>
      </c>
      <c r="E9" s="48" t="s">
        <v>414</v>
      </c>
      <c r="F9" s="49" t="s">
        <v>688</v>
      </c>
      <c r="G9" s="49"/>
      <c r="H9" s="49"/>
      <c r="I9" s="54"/>
      <c r="J9" s="55"/>
      <c r="K9" s="52" t="s">
        <v>691</v>
      </c>
    </row>
  </sheetData>
  <sheetProtection/>
  <autoFilter ref="A5:K5">
    <sortState ref="A6:K9">
      <sortCondition sortBy="value" ref="F6:F9"/>
    </sortState>
  </autoFilter>
  <printOptions/>
  <pageMargins left="0.7" right="0.7" top="0.75" bottom="0.75" header="0.3" footer="0.3"/>
  <pageSetup fitToHeight="0" fitToWidth="1" horizontalDpi="600" verticalDpi="600" orientation="landscape" paperSize="9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Y61"/>
  <sheetViews>
    <sheetView zoomScale="78" zoomScaleNormal="78" workbookViewId="0" topLeftCell="A1">
      <pane ySplit="5" topLeftCell="A18" activePane="bottomLeft" state="frozen"/>
      <selection pane="topLeft" activeCell="A1" sqref="A1"/>
      <selection pane="bottomLeft" activeCell="B57" sqref="B57"/>
    </sheetView>
  </sheetViews>
  <sheetFormatPr defaultColWidth="9.140625" defaultRowHeight="15"/>
  <cols>
    <col min="1" max="1" width="20.57421875" style="0" customWidth="1"/>
    <col min="2" max="2" width="46.421875" style="0" customWidth="1"/>
    <col min="3" max="3" width="20.140625" style="0" bestFit="1" customWidth="1"/>
    <col min="4" max="6" width="24.57421875" style="0" customWidth="1"/>
    <col min="7" max="7" width="13.8515625" style="37" customWidth="1"/>
    <col min="8" max="8" width="13.8515625" style="39" customWidth="1"/>
    <col min="9" max="12" width="13.8515625" style="0" customWidth="1"/>
    <col min="13" max="13" width="16.57421875" style="0" customWidth="1"/>
  </cols>
  <sheetData>
    <row r="1" spans="2:14" s="3" customFormat="1" ht="23.25" customHeight="1">
      <c r="B1" s="5"/>
      <c r="C1" s="7"/>
      <c r="D1" s="5"/>
      <c r="E1" s="2"/>
      <c r="F1" s="5"/>
      <c r="G1" s="2"/>
      <c r="H1" s="2"/>
      <c r="I1" s="38"/>
      <c r="J1" s="38"/>
      <c r="K1" s="38"/>
      <c r="L1" s="38"/>
      <c r="M1" s="38"/>
      <c r="N1" s="8"/>
    </row>
    <row r="2" spans="2:14" s="3" customFormat="1" ht="23.25" customHeight="1">
      <c r="B2" s="5"/>
      <c r="C2" s="7"/>
      <c r="D2" s="5"/>
      <c r="E2" s="2"/>
      <c r="F2" s="5"/>
      <c r="G2" s="2"/>
      <c r="H2" s="2"/>
      <c r="I2" s="38"/>
      <c r="J2" s="38"/>
      <c r="K2" s="38"/>
      <c r="L2" s="38"/>
      <c r="M2" s="38"/>
      <c r="N2" s="8"/>
    </row>
    <row r="3" spans="2:14" s="3" customFormat="1" ht="23.25" customHeight="1">
      <c r="B3" s="5"/>
      <c r="C3" s="7"/>
      <c r="D3" s="5"/>
      <c r="E3" s="2"/>
      <c r="F3" s="5"/>
      <c r="G3" s="2"/>
      <c r="H3" s="2"/>
      <c r="I3" s="38"/>
      <c r="J3" s="38"/>
      <c r="K3" s="38"/>
      <c r="L3" s="38"/>
      <c r="M3" s="38"/>
      <c r="N3" s="8"/>
    </row>
    <row r="4" spans="2:14" s="3" customFormat="1" ht="23.25" customHeight="1">
      <c r="B4" s="5"/>
      <c r="C4" s="7"/>
      <c r="D4" s="5"/>
      <c r="E4" s="2"/>
      <c r="F4" s="5"/>
      <c r="G4" s="2"/>
      <c r="H4" s="2"/>
      <c r="I4" s="38"/>
      <c r="J4" s="38"/>
      <c r="K4" s="38"/>
      <c r="L4" s="38"/>
      <c r="M4" s="38"/>
      <c r="N4" s="8"/>
    </row>
    <row r="5" spans="1:13" s="14" customFormat="1" ht="111">
      <c r="A5" s="208" t="s">
        <v>0</v>
      </c>
      <c r="B5" s="208" t="s">
        <v>1</v>
      </c>
      <c r="C5" s="209" t="s">
        <v>2</v>
      </c>
      <c r="D5" s="210" t="s">
        <v>702</v>
      </c>
      <c r="E5" s="210" t="s">
        <v>703</v>
      </c>
      <c r="F5" s="211" t="s">
        <v>704</v>
      </c>
      <c r="G5" s="213" t="s">
        <v>706</v>
      </c>
      <c r="H5" s="214" t="s">
        <v>711</v>
      </c>
      <c r="I5" s="215" t="s">
        <v>707</v>
      </c>
      <c r="J5" s="215" t="s">
        <v>708</v>
      </c>
      <c r="K5" s="215" t="s">
        <v>709</v>
      </c>
      <c r="L5" s="215" t="s">
        <v>710</v>
      </c>
      <c r="M5" s="208" t="s">
        <v>3</v>
      </c>
    </row>
    <row r="6" spans="1:207" s="30" customFormat="1" ht="26.25" customHeight="1">
      <c r="A6" s="68" t="s">
        <v>258</v>
      </c>
      <c r="B6" s="68" t="s">
        <v>259</v>
      </c>
      <c r="C6" s="1" t="s">
        <v>18</v>
      </c>
      <c r="D6" s="83">
        <v>43888</v>
      </c>
      <c r="E6" s="80">
        <v>43889</v>
      </c>
      <c r="F6" s="80">
        <v>43896</v>
      </c>
      <c r="G6" s="86">
        <v>0.05</v>
      </c>
      <c r="H6" s="88">
        <v>1.23208</v>
      </c>
      <c r="I6" s="88">
        <v>0</v>
      </c>
      <c r="J6" s="88">
        <v>1.23208</v>
      </c>
      <c r="K6" s="76">
        <f>+J6-((J6*0.083*0.125)+(J6*(1-0.083)*0.26))</f>
        <v>0.9255446564</v>
      </c>
      <c r="L6" s="89">
        <f>I6+K6</f>
        <v>0.9255446564</v>
      </c>
      <c r="M6" s="77" t="s">
        <v>247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</row>
    <row r="7" spans="1:207" s="30" customFormat="1" ht="26.25" customHeight="1">
      <c r="A7" s="68" t="s">
        <v>502</v>
      </c>
      <c r="B7" s="68" t="s">
        <v>423</v>
      </c>
      <c r="C7" s="1" t="s">
        <v>18</v>
      </c>
      <c r="D7" s="83">
        <v>43888</v>
      </c>
      <c r="E7" s="80">
        <v>43889</v>
      </c>
      <c r="F7" s="80">
        <v>43896</v>
      </c>
      <c r="G7" s="86">
        <v>0.05</v>
      </c>
      <c r="H7" s="88" t="s">
        <v>503</v>
      </c>
      <c r="I7" s="88" t="s">
        <v>503</v>
      </c>
      <c r="J7" s="88" t="s">
        <v>503</v>
      </c>
      <c r="K7" s="88" t="s">
        <v>503</v>
      </c>
      <c r="L7" s="88" t="s">
        <v>503</v>
      </c>
      <c r="M7" s="77" t="s">
        <v>247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</row>
    <row r="8" spans="1:207" s="30" customFormat="1" ht="26.25" customHeight="1">
      <c r="A8" s="68" t="s">
        <v>260</v>
      </c>
      <c r="B8" s="68" t="s">
        <v>415</v>
      </c>
      <c r="C8" s="1" t="s">
        <v>18</v>
      </c>
      <c r="D8" s="83">
        <v>43888</v>
      </c>
      <c r="E8" s="80">
        <v>43889</v>
      </c>
      <c r="F8" s="80">
        <v>43896</v>
      </c>
      <c r="G8" s="90"/>
      <c r="H8" s="88">
        <v>0.931032</v>
      </c>
      <c r="I8" s="88">
        <v>0</v>
      </c>
      <c r="J8" s="88">
        <v>0.931032</v>
      </c>
      <c r="K8" s="76">
        <f>+J8-((J8*0.083*0.125)+(J8*(1-0.083)*0.26))</f>
        <v>0.69939589356</v>
      </c>
      <c r="L8" s="89">
        <f aca="true" t="shared" si="0" ref="L8:L33">I8+K8</f>
        <v>0.69939589356</v>
      </c>
      <c r="M8" s="77" t="s">
        <v>247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30" customFormat="1" ht="26.25" customHeight="1">
      <c r="A9" s="68" t="s">
        <v>261</v>
      </c>
      <c r="B9" s="68" t="s">
        <v>262</v>
      </c>
      <c r="C9" s="1" t="s">
        <v>18</v>
      </c>
      <c r="D9" s="83">
        <v>43888</v>
      </c>
      <c r="E9" s="80">
        <v>43889</v>
      </c>
      <c r="F9" s="80">
        <v>43896</v>
      </c>
      <c r="G9" s="86">
        <v>0.05</v>
      </c>
      <c r="H9" s="88">
        <v>1.048197</v>
      </c>
      <c r="I9" s="88">
        <v>0</v>
      </c>
      <c r="J9" s="88">
        <v>1.048197</v>
      </c>
      <c r="K9" s="76">
        <f>+J9-((J9*0.083*0.125)+(J9*(1-0.083)*0.26))</f>
        <v>0.787410827385</v>
      </c>
      <c r="L9" s="89">
        <f t="shared" si="0"/>
        <v>0.787410827385</v>
      </c>
      <c r="M9" s="77" t="s">
        <v>247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</row>
    <row r="10" spans="1:207" s="30" customFormat="1" ht="24.75" customHeight="1">
      <c r="A10" s="68" t="s">
        <v>263</v>
      </c>
      <c r="B10" s="68" t="s">
        <v>264</v>
      </c>
      <c r="C10" s="1" t="s">
        <v>18</v>
      </c>
      <c r="D10" s="83">
        <v>43888</v>
      </c>
      <c r="E10" s="80">
        <v>43889</v>
      </c>
      <c r="F10" s="80">
        <v>43896</v>
      </c>
      <c r="G10" s="86">
        <v>0.05</v>
      </c>
      <c r="H10" s="88">
        <v>0.912712</v>
      </c>
      <c r="I10" s="88">
        <v>0</v>
      </c>
      <c r="J10" s="88">
        <v>0.912712</v>
      </c>
      <c r="K10" s="76">
        <f>+J10-((J10*0.083*0.125)+(J10*(1-0.083)*0.26))</f>
        <v>0.68563381796</v>
      </c>
      <c r="L10" s="89">
        <f t="shared" si="0"/>
        <v>0.68563381796</v>
      </c>
      <c r="M10" s="77" t="s">
        <v>247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30" customFormat="1" ht="26.25" customHeight="1">
      <c r="A11" s="68" t="s">
        <v>266</v>
      </c>
      <c r="B11" s="68" t="s">
        <v>268</v>
      </c>
      <c r="C11" s="1" t="s">
        <v>18</v>
      </c>
      <c r="D11" s="83">
        <v>43888</v>
      </c>
      <c r="E11" s="80">
        <v>43889</v>
      </c>
      <c r="F11" s="80">
        <v>43896</v>
      </c>
      <c r="G11" s="86">
        <v>0.04</v>
      </c>
      <c r="H11" s="88">
        <v>1.204005</v>
      </c>
      <c r="I11" s="88">
        <v>0</v>
      </c>
      <c r="J11" s="88">
        <v>1.204005</v>
      </c>
      <c r="K11" s="76">
        <f>+J11-((J11*0.096*0.125)+(J11*(1-0.096)*0.26))</f>
        <v>0.9065676048</v>
      </c>
      <c r="L11" s="89">
        <f t="shared" si="0"/>
        <v>0.9065676048</v>
      </c>
      <c r="M11" s="77" t="s">
        <v>247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30" customFormat="1" ht="26.25" customHeight="1">
      <c r="A12" s="68" t="s">
        <v>265</v>
      </c>
      <c r="B12" s="68" t="s">
        <v>267</v>
      </c>
      <c r="C12" s="1" t="s">
        <v>18</v>
      </c>
      <c r="D12" s="83">
        <v>43888</v>
      </c>
      <c r="E12" s="80">
        <v>43889</v>
      </c>
      <c r="F12" s="80">
        <v>43896</v>
      </c>
      <c r="G12" s="86">
        <v>0.04</v>
      </c>
      <c r="H12" s="88">
        <v>0.826427</v>
      </c>
      <c r="I12" s="88">
        <v>0</v>
      </c>
      <c r="J12" s="88">
        <v>0.826427</v>
      </c>
      <c r="K12" s="76">
        <f>+J12-((J12*0.096*0.125)+(J12*(1-0.096)*0.26))</f>
        <v>0.62226647392</v>
      </c>
      <c r="L12" s="89">
        <f t="shared" si="0"/>
        <v>0.62226647392</v>
      </c>
      <c r="M12" s="77" t="s">
        <v>247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</row>
    <row r="13" spans="1:207" s="30" customFormat="1" ht="26.25" customHeight="1">
      <c r="A13" s="68" t="s">
        <v>258</v>
      </c>
      <c r="B13" s="68" t="s">
        <v>259</v>
      </c>
      <c r="C13" s="12" t="s">
        <v>18</v>
      </c>
      <c r="D13" s="65">
        <v>43979</v>
      </c>
      <c r="E13" s="66">
        <v>43980</v>
      </c>
      <c r="F13" s="66">
        <v>43990</v>
      </c>
      <c r="G13" s="96">
        <v>0.05</v>
      </c>
      <c r="H13" s="113">
        <v>1.179165</v>
      </c>
      <c r="I13" s="113">
        <v>0</v>
      </c>
      <c r="J13" s="113">
        <v>1.179165</v>
      </c>
      <c r="K13" s="60">
        <f>+J13-((J13*0.083*0.125)+(J13*(1-0.083)*0.26))</f>
        <v>0.885794643825</v>
      </c>
      <c r="L13" s="115">
        <f t="shared" si="0"/>
        <v>0.885794643825</v>
      </c>
      <c r="M13" s="67" t="s">
        <v>247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</row>
    <row r="14" spans="1:207" s="30" customFormat="1" ht="26.25" customHeight="1">
      <c r="A14" s="68" t="s">
        <v>502</v>
      </c>
      <c r="B14" s="68" t="s">
        <v>423</v>
      </c>
      <c r="C14" s="12" t="s">
        <v>18</v>
      </c>
      <c r="D14" s="65">
        <v>43979</v>
      </c>
      <c r="E14" s="66">
        <v>43980</v>
      </c>
      <c r="F14" s="66">
        <v>43990</v>
      </c>
      <c r="G14" s="96">
        <v>0.05</v>
      </c>
      <c r="H14" s="113">
        <v>1.127951</v>
      </c>
      <c r="I14" s="113">
        <v>0.4291577628038597</v>
      </c>
      <c r="J14" s="113">
        <v>0.6987932371961403</v>
      </c>
      <c r="K14" s="60">
        <f>+J14-((J14*0.083*0.125)+(J14*(1-0.083)*0.26))</f>
        <v>0.5249369737479266</v>
      </c>
      <c r="L14" s="115">
        <f t="shared" si="0"/>
        <v>0.9540947365517862</v>
      </c>
      <c r="M14" s="67" t="s">
        <v>247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30" customFormat="1" ht="26.25" customHeight="1">
      <c r="A15" s="68" t="s">
        <v>260</v>
      </c>
      <c r="B15" s="68" t="s">
        <v>415</v>
      </c>
      <c r="C15" s="12" t="s">
        <v>18</v>
      </c>
      <c r="D15" s="65">
        <v>43979</v>
      </c>
      <c r="E15" s="66">
        <v>43980</v>
      </c>
      <c r="F15" s="66">
        <v>43990</v>
      </c>
      <c r="G15" s="96"/>
      <c r="H15" s="113">
        <v>0.42668</v>
      </c>
      <c r="I15" s="113">
        <v>0</v>
      </c>
      <c r="J15" s="113">
        <v>0.42668</v>
      </c>
      <c r="K15" s="60">
        <f>+J15-((J15*0.083*0.125)+(J15*(1-0.083)*0.26))</f>
        <v>0.32052414939999996</v>
      </c>
      <c r="L15" s="115">
        <f t="shared" si="0"/>
        <v>0.32052414939999996</v>
      </c>
      <c r="M15" s="67" t="s">
        <v>416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</row>
    <row r="16" spans="1:207" s="30" customFormat="1" ht="26.25" customHeight="1">
      <c r="A16" s="68" t="s">
        <v>261</v>
      </c>
      <c r="B16" s="68" t="s">
        <v>262</v>
      </c>
      <c r="C16" s="12" t="s">
        <v>18</v>
      </c>
      <c r="D16" s="65">
        <v>43979</v>
      </c>
      <c r="E16" s="66">
        <v>43980</v>
      </c>
      <c r="F16" s="66">
        <v>43990</v>
      </c>
      <c r="G16" s="96">
        <v>0.05</v>
      </c>
      <c r="H16" s="113">
        <v>1.000682</v>
      </c>
      <c r="I16" s="113">
        <v>0</v>
      </c>
      <c r="J16" s="113">
        <v>1.000682</v>
      </c>
      <c r="K16" s="60">
        <f>+J16-((J16*0.083*0.125)+(J16*(1-0.083)*0.26))</f>
        <v>0.7517173218100001</v>
      </c>
      <c r="L16" s="115">
        <f t="shared" si="0"/>
        <v>0.7517173218100001</v>
      </c>
      <c r="M16" s="67" t="s">
        <v>247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</row>
    <row r="17" spans="1:207" s="30" customFormat="1" ht="26.25" customHeight="1">
      <c r="A17" s="68" t="s">
        <v>263</v>
      </c>
      <c r="B17" s="68" t="s">
        <v>264</v>
      </c>
      <c r="C17" s="12" t="s">
        <v>18</v>
      </c>
      <c r="D17" s="65">
        <v>43979</v>
      </c>
      <c r="E17" s="66">
        <v>43980</v>
      </c>
      <c r="F17" s="66">
        <v>43990</v>
      </c>
      <c r="G17" s="96">
        <v>0.05</v>
      </c>
      <c r="H17" s="113">
        <v>0.876068</v>
      </c>
      <c r="I17" s="113">
        <v>0</v>
      </c>
      <c r="J17" s="113">
        <v>0.876068</v>
      </c>
      <c r="K17" s="60">
        <f>+J17-((J17*0.083*0.125)+(J17*(1-0.083)*0.26))</f>
        <v>0.65810666194</v>
      </c>
      <c r="L17" s="115">
        <f t="shared" si="0"/>
        <v>0.65810666194</v>
      </c>
      <c r="M17" s="67" t="s">
        <v>247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s="30" customFormat="1" ht="26.25" customHeight="1">
      <c r="A18" s="68" t="s">
        <v>266</v>
      </c>
      <c r="B18" s="68" t="s">
        <v>268</v>
      </c>
      <c r="C18" s="12" t="s">
        <v>18</v>
      </c>
      <c r="D18" s="65">
        <v>43979</v>
      </c>
      <c r="E18" s="66">
        <v>43980</v>
      </c>
      <c r="F18" s="66">
        <v>43990</v>
      </c>
      <c r="G18" s="96">
        <v>0.04</v>
      </c>
      <c r="H18" s="113">
        <v>1.167059</v>
      </c>
      <c r="I18" s="113">
        <v>0</v>
      </c>
      <c r="J18" s="113">
        <v>1.167059</v>
      </c>
      <c r="K18" s="60">
        <f>+J18-((J18*0.096*0.125)+(J18*(1-0.096)*0.26))</f>
        <v>0.8787487446400001</v>
      </c>
      <c r="L18" s="115">
        <f t="shared" si="0"/>
        <v>0.8787487446400001</v>
      </c>
      <c r="M18" s="67" t="s">
        <v>247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207" s="30" customFormat="1" ht="26.25" customHeight="1">
      <c r="A19" s="68" t="s">
        <v>265</v>
      </c>
      <c r="B19" s="68" t="s">
        <v>267</v>
      </c>
      <c r="C19" s="12" t="s">
        <v>18</v>
      </c>
      <c r="D19" s="65">
        <v>43979</v>
      </c>
      <c r="E19" s="66">
        <v>43980</v>
      </c>
      <c r="F19" s="66">
        <v>43990</v>
      </c>
      <c r="G19" s="96">
        <v>0.04</v>
      </c>
      <c r="H19" s="113">
        <v>0.804731</v>
      </c>
      <c r="I19" s="113">
        <v>0</v>
      </c>
      <c r="J19" s="113">
        <v>0.804731</v>
      </c>
      <c r="K19" s="60">
        <f>+J19-((J19*0.096*0.125)+(J19*(1-0.096)*0.26))</f>
        <v>0.60593025376</v>
      </c>
      <c r="L19" s="115">
        <f t="shared" si="0"/>
        <v>0.60593025376</v>
      </c>
      <c r="M19" s="67" t="s">
        <v>247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</row>
    <row r="20" spans="1:207" s="30" customFormat="1" ht="26.25" customHeight="1">
      <c r="A20" s="68" t="s">
        <v>258</v>
      </c>
      <c r="B20" s="68" t="s">
        <v>259</v>
      </c>
      <c r="C20" s="12" t="s">
        <v>18</v>
      </c>
      <c r="D20" s="65">
        <v>44071</v>
      </c>
      <c r="E20" s="66">
        <v>44074</v>
      </c>
      <c r="F20" s="66">
        <v>44081</v>
      </c>
      <c r="G20" s="96">
        <v>0.05</v>
      </c>
      <c r="H20" s="113">
        <v>1.156573</v>
      </c>
      <c r="I20" s="113">
        <f>VLOOKUP(A20,'[1]Feuil2'!$A$2:$H$21,5,FALSE)</f>
        <v>0.5390784552283541</v>
      </c>
      <c r="J20" s="113">
        <f>VLOOKUP(A20,'[1]Feuil2'!$A$2:$H$21,6,FALSE)</f>
        <v>0.617494544771646</v>
      </c>
      <c r="K20" s="60">
        <f>+J20-((J20*0.098*0.125)+(J20*(1-0.098)*0.26))</f>
        <v>0.46511541595834693</v>
      </c>
      <c r="L20" s="115">
        <f t="shared" si="0"/>
        <v>1.004193871186701</v>
      </c>
      <c r="M20" s="67" t="s">
        <v>247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</row>
    <row r="21" spans="1:207" s="30" customFormat="1" ht="26.25" customHeight="1">
      <c r="A21" s="68" t="s">
        <v>502</v>
      </c>
      <c r="B21" s="68" t="s">
        <v>423</v>
      </c>
      <c r="C21" s="12" t="s">
        <v>18</v>
      </c>
      <c r="D21" s="65">
        <v>44071</v>
      </c>
      <c r="E21" s="66">
        <v>44074</v>
      </c>
      <c r="F21" s="66">
        <v>44081</v>
      </c>
      <c r="G21" s="96">
        <v>0.05</v>
      </c>
      <c r="H21" s="113">
        <v>1.177059</v>
      </c>
      <c r="I21" s="113">
        <f>VLOOKUP(A21,'[1]Feuil2'!$A$2:$H$21,5,FALSE)</f>
        <v>0.5840330141479751</v>
      </c>
      <c r="J21" s="113">
        <f>VLOOKUP(A21,'[1]Feuil2'!$A$2:$H$21,6,FALSE)</f>
        <v>0.5930259858520249</v>
      </c>
      <c r="K21" s="60">
        <f>+J21-((J21*0.098*0.125)+(J21*(1-0.098)*0.26))</f>
        <v>0.44668496332332075</v>
      </c>
      <c r="L21" s="115">
        <f t="shared" si="0"/>
        <v>1.030717977471296</v>
      </c>
      <c r="M21" s="67" t="s">
        <v>247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</row>
    <row r="22" spans="1:207" s="30" customFormat="1" ht="26.25" customHeight="1">
      <c r="A22" s="68" t="s">
        <v>260</v>
      </c>
      <c r="B22" s="68" t="s">
        <v>415</v>
      </c>
      <c r="C22" s="12" t="s">
        <v>18</v>
      </c>
      <c r="D22" s="65">
        <v>44071</v>
      </c>
      <c r="E22" s="66">
        <v>44074</v>
      </c>
      <c r="F22" s="66">
        <v>44081</v>
      </c>
      <c r="G22" s="96"/>
      <c r="H22" s="113">
        <v>0.19253443</v>
      </c>
      <c r="I22" s="113">
        <f>VLOOKUP(A22,'[1]Feuil2'!$A$2:$H$21,5,FALSE)</f>
        <v>0</v>
      </c>
      <c r="J22" s="113">
        <f>VLOOKUP(A22,'[1]Feuil2'!$A$2:$H$21,6,FALSE)</f>
        <v>0.19253443</v>
      </c>
      <c r="K22" s="60">
        <f>+J22-((J22*0.098*0.125)+(J22*(1-0.098)*0.26))</f>
        <v>0.1450227087089</v>
      </c>
      <c r="L22" s="115">
        <f t="shared" si="0"/>
        <v>0.1450227087089</v>
      </c>
      <c r="M22" s="67" t="s">
        <v>416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</row>
    <row r="23" spans="1:207" s="30" customFormat="1" ht="26.25" customHeight="1">
      <c r="A23" s="68" t="s">
        <v>261</v>
      </c>
      <c r="B23" s="68" t="s">
        <v>262</v>
      </c>
      <c r="C23" s="12" t="s">
        <v>18</v>
      </c>
      <c r="D23" s="65">
        <v>44071</v>
      </c>
      <c r="E23" s="66">
        <v>44074</v>
      </c>
      <c r="F23" s="66">
        <v>44081</v>
      </c>
      <c r="G23" s="96">
        <v>0.05</v>
      </c>
      <c r="H23" s="113">
        <v>0.978989</v>
      </c>
      <c r="I23" s="113">
        <f>VLOOKUP(A23,'[1]Feuil2'!$A$2:$H$21,5,FALSE)</f>
        <v>0.46848136633363724</v>
      </c>
      <c r="J23" s="113">
        <f>VLOOKUP(A23,'[1]Feuil2'!$A$2:$H$21,6,FALSE)</f>
        <v>0.5105076336663628</v>
      </c>
      <c r="K23" s="60">
        <f>+J23-((J23*0.098*0.125)+(J23*(1-0.098)*0.26))</f>
        <v>0.3845296649065144</v>
      </c>
      <c r="L23" s="115">
        <f t="shared" si="0"/>
        <v>0.8530110312401517</v>
      </c>
      <c r="M23" s="67" t="s">
        <v>247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</row>
    <row r="24" spans="1:207" s="30" customFormat="1" ht="26.25" customHeight="1">
      <c r="A24" s="68" t="s">
        <v>263</v>
      </c>
      <c r="B24" s="68" t="s">
        <v>264</v>
      </c>
      <c r="C24" s="12" t="s">
        <v>18</v>
      </c>
      <c r="D24" s="65">
        <v>44071</v>
      </c>
      <c r="E24" s="66">
        <v>44074</v>
      </c>
      <c r="F24" s="66">
        <v>44081</v>
      </c>
      <c r="G24" s="96">
        <v>0.05</v>
      </c>
      <c r="H24" s="113">
        <v>0.918864</v>
      </c>
      <c r="I24" s="113">
        <f>VLOOKUP(A24,'[1]Feuil2'!$A$2:$H$21,5,FALSE)</f>
        <v>0.47752227288008053</v>
      </c>
      <c r="J24" s="113">
        <f>VLOOKUP(A24,'[1]Feuil2'!$A$2:$H$21,6,FALSE)</f>
        <v>0.4413417271199195</v>
      </c>
      <c r="K24" s="60">
        <f>+J24-((J24*0.098*0.125)+(J24*(1-0.098)*0.26))</f>
        <v>0.3324318291185369</v>
      </c>
      <c r="L24" s="115">
        <f t="shared" si="0"/>
        <v>0.8099541019986174</v>
      </c>
      <c r="M24" s="67" t="s">
        <v>247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</row>
    <row r="25" spans="1:207" s="30" customFormat="1" ht="26.25" customHeight="1">
      <c r="A25" s="68" t="s">
        <v>266</v>
      </c>
      <c r="B25" s="68" t="s">
        <v>268</v>
      </c>
      <c r="C25" s="12" t="s">
        <v>18</v>
      </c>
      <c r="D25" s="65">
        <v>44071</v>
      </c>
      <c r="E25" s="66">
        <v>44074</v>
      </c>
      <c r="F25" s="66">
        <v>44081</v>
      </c>
      <c r="G25" s="96">
        <v>0.04</v>
      </c>
      <c r="H25" s="113">
        <v>1.178895</v>
      </c>
      <c r="I25" s="113">
        <f>VLOOKUP(A25,'[1]Feuil2'!$A$2:$H$21,5,FALSE)</f>
        <v>0.7938011011498044</v>
      </c>
      <c r="J25" s="113">
        <f>VLOOKUP(A25,'[1]Feuil2'!$A$2:$H$21,6,FALSE)</f>
        <v>0.3850938988501957</v>
      </c>
      <c r="K25" s="60">
        <f>+J25-((J25*0.107*0.125)+(J25*(1-0.107)*0.26))</f>
        <v>0.2905321665180359</v>
      </c>
      <c r="L25" s="115">
        <f t="shared" si="0"/>
        <v>1.0843332676678403</v>
      </c>
      <c r="M25" s="67" t="s">
        <v>247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</row>
    <row r="26" spans="1:207" s="30" customFormat="1" ht="26.25" customHeight="1">
      <c r="A26" s="68" t="s">
        <v>265</v>
      </c>
      <c r="B26" s="68" t="s">
        <v>267</v>
      </c>
      <c r="C26" s="12" t="s">
        <v>18</v>
      </c>
      <c r="D26" s="65">
        <v>44071</v>
      </c>
      <c r="E26" s="66">
        <v>44074</v>
      </c>
      <c r="F26" s="66">
        <v>44081</v>
      </c>
      <c r="G26" s="96">
        <v>0.04</v>
      </c>
      <c r="H26" s="113">
        <v>0.871339</v>
      </c>
      <c r="I26" s="113">
        <f>VLOOKUP(A26,'[1]Feuil2'!$A$2:$H$21,5,FALSE)</f>
        <v>0.6146003891899637</v>
      </c>
      <c r="J26" s="113">
        <f>VLOOKUP(A26,'[1]Feuil2'!$A$2:$H$21,6,FALSE)</f>
        <v>0.25673861081003624</v>
      </c>
      <c r="K26" s="60">
        <f>+J26-((J26*0.107*0.125)+(J26*(1-0.107)*0.26))</f>
        <v>0.1936951612325778</v>
      </c>
      <c r="L26" s="115">
        <f t="shared" si="0"/>
        <v>0.8082955504225415</v>
      </c>
      <c r="M26" s="67" t="s">
        <v>247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</row>
    <row r="27" spans="1:207" s="30" customFormat="1" ht="26.25" customHeight="1">
      <c r="A27" s="68" t="s">
        <v>258</v>
      </c>
      <c r="B27" s="68" t="s">
        <v>259</v>
      </c>
      <c r="C27" s="12" t="s">
        <v>18</v>
      </c>
      <c r="D27" s="65">
        <v>44162</v>
      </c>
      <c r="E27" s="66">
        <v>44165</v>
      </c>
      <c r="F27" s="66">
        <v>44172</v>
      </c>
      <c r="G27" s="96">
        <v>0.05</v>
      </c>
      <c r="H27" s="113">
        <v>1.183676</v>
      </c>
      <c r="I27" s="113">
        <v>0.24821235636956512</v>
      </c>
      <c r="J27" s="113">
        <v>0.9354636436304349</v>
      </c>
      <c r="K27" s="60">
        <f>+J27-((J27*0.098*0.125)+(J27*(1-0.098)*0.26))</f>
        <v>0.7046192802917525</v>
      </c>
      <c r="L27" s="115">
        <f t="shared" si="0"/>
        <v>0.9528316366613176</v>
      </c>
      <c r="M27" s="67" t="s">
        <v>247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</row>
    <row r="28" spans="1:207" s="30" customFormat="1" ht="26.25" customHeight="1">
      <c r="A28" s="68" t="s">
        <v>502</v>
      </c>
      <c r="B28" s="68" t="s">
        <v>423</v>
      </c>
      <c r="C28" s="12" t="s">
        <v>18</v>
      </c>
      <c r="D28" s="65">
        <v>44162</v>
      </c>
      <c r="E28" s="66">
        <v>44165</v>
      </c>
      <c r="F28" s="66">
        <v>44172</v>
      </c>
      <c r="G28" s="96">
        <v>0.05</v>
      </c>
      <c r="H28" s="113">
        <v>1.201871</v>
      </c>
      <c r="I28" s="113">
        <v>0</v>
      </c>
      <c r="J28" s="113">
        <v>1.201871</v>
      </c>
      <c r="K28" s="60">
        <f>+J28-((J28*0.098*0.125)+(J28*(1-0.098)*0.26))</f>
        <v>0.90528529333</v>
      </c>
      <c r="L28" s="115">
        <f t="shared" si="0"/>
        <v>0.90528529333</v>
      </c>
      <c r="M28" s="67" t="s">
        <v>247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</row>
    <row r="29" spans="1:207" s="30" customFormat="1" ht="26.25" customHeight="1">
      <c r="A29" s="68" t="s">
        <v>260</v>
      </c>
      <c r="B29" s="68" t="s">
        <v>415</v>
      </c>
      <c r="C29" s="12" t="s">
        <v>18</v>
      </c>
      <c r="D29" s="65">
        <v>44162</v>
      </c>
      <c r="E29" s="66">
        <v>44165</v>
      </c>
      <c r="F29" s="66">
        <v>44172</v>
      </c>
      <c r="G29" s="96"/>
      <c r="H29" s="113">
        <v>0.11608908</v>
      </c>
      <c r="I29" s="113">
        <v>0</v>
      </c>
      <c r="J29" s="113">
        <v>0.11608908</v>
      </c>
      <c r="K29" s="60">
        <f>+J29-((J29*0.098*0.125)+(J29*(1-0.098)*0.26))</f>
        <v>0.0874417777284</v>
      </c>
      <c r="L29" s="115">
        <f t="shared" si="0"/>
        <v>0.0874417777284</v>
      </c>
      <c r="M29" s="67" t="s">
        <v>416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</row>
    <row r="30" spans="1:207" s="30" customFormat="1" ht="26.25" customHeight="1">
      <c r="A30" s="68" t="s">
        <v>261</v>
      </c>
      <c r="B30" s="68" t="s">
        <v>262</v>
      </c>
      <c r="C30" s="12" t="s">
        <v>18</v>
      </c>
      <c r="D30" s="65">
        <v>44162</v>
      </c>
      <c r="E30" s="66">
        <v>44165</v>
      </c>
      <c r="F30" s="66">
        <v>44172</v>
      </c>
      <c r="G30" s="96">
        <v>0.05</v>
      </c>
      <c r="H30" s="113">
        <v>0.999636</v>
      </c>
      <c r="I30" s="113">
        <v>0.0022376606125038504</v>
      </c>
      <c r="J30" s="113">
        <v>0.9973983393874961</v>
      </c>
      <c r="K30" s="60">
        <f>+J30-((J30*0.098*0.125)+(J30*(1-0.098)*0.26))</f>
        <v>0.7512703511768437</v>
      </c>
      <c r="L30" s="115">
        <f t="shared" si="0"/>
        <v>0.7535080117893476</v>
      </c>
      <c r="M30" s="67" t="s">
        <v>247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</row>
    <row r="31" spans="1:207" s="30" customFormat="1" ht="26.25" customHeight="1">
      <c r="A31" s="68" t="s">
        <v>263</v>
      </c>
      <c r="B31" s="68" t="s">
        <v>264</v>
      </c>
      <c r="C31" s="12" t="s">
        <v>18</v>
      </c>
      <c r="D31" s="65">
        <v>44162</v>
      </c>
      <c r="E31" s="66">
        <v>44165</v>
      </c>
      <c r="F31" s="66">
        <v>44172</v>
      </c>
      <c r="G31" s="96">
        <v>0.05</v>
      </c>
      <c r="H31" s="113">
        <v>0.936069</v>
      </c>
      <c r="I31" s="113">
        <v>0.07594651094575619</v>
      </c>
      <c r="J31" s="113">
        <v>0.8601224890542438</v>
      </c>
      <c r="K31" s="60">
        <f>+J31-((J31*0.098*0.125)+(J31*(1-0.098)*0.26))</f>
        <v>0.6478700624303281</v>
      </c>
      <c r="L31" s="115">
        <f t="shared" si="0"/>
        <v>0.7238165733760843</v>
      </c>
      <c r="M31" s="67" t="s">
        <v>247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</row>
    <row r="32" spans="1:207" s="30" customFormat="1" ht="26.25" customHeight="1">
      <c r="A32" s="68" t="s">
        <v>266</v>
      </c>
      <c r="B32" s="68" t="s">
        <v>268</v>
      </c>
      <c r="C32" s="12" t="s">
        <v>18</v>
      </c>
      <c r="D32" s="65">
        <v>44162</v>
      </c>
      <c r="E32" s="66">
        <v>44165</v>
      </c>
      <c r="F32" s="66">
        <v>44172</v>
      </c>
      <c r="G32" s="96">
        <v>0.04</v>
      </c>
      <c r="H32" s="113">
        <v>1.208264</v>
      </c>
      <c r="I32" s="113">
        <v>0.2585229295099407</v>
      </c>
      <c r="J32" s="113">
        <v>0.9497410704900593</v>
      </c>
      <c r="K32" s="60">
        <f>+J32-((J32*0.107*0.125)+(J32*(1-0.107)*0.26))</f>
        <v>0.7165274019258727</v>
      </c>
      <c r="L32" s="115">
        <f t="shared" si="0"/>
        <v>0.9750503314358134</v>
      </c>
      <c r="M32" s="67" t="s">
        <v>247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</row>
    <row r="33" spans="1:207" s="30" customFormat="1" ht="26.25" customHeight="1">
      <c r="A33" s="68" t="s">
        <v>265</v>
      </c>
      <c r="B33" s="68" t="s">
        <v>267</v>
      </c>
      <c r="C33" s="12" t="s">
        <v>18</v>
      </c>
      <c r="D33" s="65">
        <v>44162</v>
      </c>
      <c r="E33" s="66">
        <v>44165</v>
      </c>
      <c r="F33" s="66">
        <v>44172</v>
      </c>
      <c r="G33" s="96">
        <v>0.04</v>
      </c>
      <c r="H33" s="113">
        <v>0.890667</v>
      </c>
      <c r="I33" s="113">
        <v>0.23662427399904426</v>
      </c>
      <c r="J33" s="113">
        <v>0.6540427260009557</v>
      </c>
      <c r="K33" s="60">
        <f>+J33-((J33*0.107*0.125)+(J33*(1-0.107)*0.26))</f>
        <v>0.49343926441779096</v>
      </c>
      <c r="L33" s="115">
        <f t="shared" si="0"/>
        <v>0.7300635384168352</v>
      </c>
      <c r="M33" s="67" t="s">
        <v>247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</row>
    <row r="34" spans="1:207" s="30" customFormat="1" ht="26.25" customHeight="1">
      <c r="A34" s="68" t="s">
        <v>258</v>
      </c>
      <c r="B34" s="68" t="s">
        <v>259</v>
      </c>
      <c r="C34" s="12" t="s">
        <v>18</v>
      </c>
      <c r="D34" s="65">
        <v>44252</v>
      </c>
      <c r="E34" s="66">
        <v>44253</v>
      </c>
      <c r="F34" s="66">
        <v>44260</v>
      </c>
      <c r="G34" s="96">
        <v>0.05</v>
      </c>
      <c r="H34" s="113">
        <v>1.181749</v>
      </c>
      <c r="I34" s="113">
        <v>0</v>
      </c>
      <c r="J34" s="113">
        <v>1.181749</v>
      </c>
      <c r="K34" s="60">
        <f>+J34-((J34*0.091*0.125)+(J34*(1-0.091)*0.26))</f>
        <v>0.889012046465</v>
      </c>
      <c r="L34" s="115">
        <v>0.9528316366613176</v>
      </c>
      <c r="M34" s="67" t="s">
        <v>247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</row>
    <row r="35" spans="1:207" s="30" customFormat="1" ht="26.25" customHeight="1">
      <c r="A35" s="68" t="s">
        <v>502</v>
      </c>
      <c r="B35" s="68" t="s">
        <v>423</v>
      </c>
      <c r="C35" s="12" t="s">
        <v>18</v>
      </c>
      <c r="D35" s="65">
        <v>44252</v>
      </c>
      <c r="E35" s="66">
        <v>44253</v>
      </c>
      <c r="F35" s="66">
        <v>44260</v>
      </c>
      <c r="G35" s="96">
        <v>0.05</v>
      </c>
      <c r="H35" s="113">
        <v>1.21417</v>
      </c>
      <c r="I35" s="113">
        <v>0</v>
      </c>
      <c r="J35" s="113">
        <v>1.21417</v>
      </c>
      <c r="K35" s="60">
        <f>+J35-((J35*0.091*0.125)+(J35*(1-0.091)*0.26))</f>
        <v>0.91340187845</v>
      </c>
      <c r="L35" s="115">
        <v>0.90528529333</v>
      </c>
      <c r="M35" s="67" t="s">
        <v>247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</row>
    <row r="36" spans="1:207" s="30" customFormat="1" ht="26.25" customHeight="1">
      <c r="A36" s="68" t="s">
        <v>260</v>
      </c>
      <c r="B36" s="68" t="s">
        <v>415</v>
      </c>
      <c r="C36" s="12" t="s">
        <v>18</v>
      </c>
      <c r="D36" s="65">
        <v>44252</v>
      </c>
      <c r="E36" s="66">
        <v>44253</v>
      </c>
      <c r="F36" s="66">
        <v>44260</v>
      </c>
      <c r="G36" s="96"/>
      <c r="H36" s="113">
        <v>0.061164</v>
      </c>
      <c r="I36" s="113">
        <v>0</v>
      </c>
      <c r="J36" s="113">
        <v>0.061164</v>
      </c>
      <c r="K36" s="60">
        <f>+J36-((J36*0.091*0.125)+(J36*(1-0.091)*0.26))</f>
        <v>0.046012759740000006</v>
      </c>
      <c r="L36" s="115">
        <f>I36+K36</f>
        <v>0.046012759740000006</v>
      </c>
      <c r="M36" s="67" t="s">
        <v>416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</row>
    <row r="37" spans="1:207" s="30" customFormat="1" ht="26.25" customHeight="1">
      <c r="A37" s="68" t="s">
        <v>261</v>
      </c>
      <c r="B37" s="68" t="s">
        <v>262</v>
      </c>
      <c r="C37" s="12" t="s">
        <v>18</v>
      </c>
      <c r="D37" s="65">
        <v>44252</v>
      </c>
      <c r="E37" s="66">
        <v>44253</v>
      </c>
      <c r="F37" s="66">
        <v>44260</v>
      </c>
      <c r="G37" s="96">
        <v>0.05</v>
      </c>
      <c r="H37" s="113">
        <v>0.995965</v>
      </c>
      <c r="I37" s="113">
        <v>0</v>
      </c>
      <c r="J37" s="113">
        <v>0.995965</v>
      </c>
      <c r="K37" s="60">
        <f>+J37-((J37*0.091*0.125)+(J37*(1-0.091)*0.26))</f>
        <v>0.7492495300249999</v>
      </c>
      <c r="L37" s="115">
        <v>0.7535080117893476</v>
      </c>
      <c r="M37" s="67" t="s">
        <v>247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</row>
    <row r="38" spans="1:13" s="37" customFormat="1" ht="15">
      <c r="A38" s="68" t="s">
        <v>263</v>
      </c>
      <c r="B38" s="68" t="s">
        <v>264</v>
      </c>
      <c r="C38" s="12" t="s">
        <v>18</v>
      </c>
      <c r="D38" s="65">
        <v>44252</v>
      </c>
      <c r="E38" s="66">
        <v>44253</v>
      </c>
      <c r="F38" s="66">
        <v>44260</v>
      </c>
      <c r="G38" s="96">
        <v>0.05</v>
      </c>
      <c r="H38" s="113">
        <v>0.943772</v>
      </c>
      <c r="I38" s="113">
        <v>0</v>
      </c>
      <c r="J38" s="113">
        <v>0.943772</v>
      </c>
      <c r="K38" s="60">
        <f>+J38-((J38*0.091*0.125)+(J38*(1-0.091)*0.26))</f>
        <v>0.7099855190200001</v>
      </c>
      <c r="L38" s="115">
        <v>0.7238165733760843</v>
      </c>
      <c r="M38" s="67" t="s">
        <v>247</v>
      </c>
    </row>
    <row r="39" spans="1:13" s="37" customFormat="1" ht="15">
      <c r="A39" s="68" t="s">
        <v>266</v>
      </c>
      <c r="B39" s="68" t="s">
        <v>268</v>
      </c>
      <c r="C39" s="12" t="s">
        <v>18</v>
      </c>
      <c r="D39" s="65">
        <v>44252</v>
      </c>
      <c r="E39" s="66">
        <v>44253</v>
      </c>
      <c r="F39" s="66">
        <v>44260</v>
      </c>
      <c r="G39" s="96">
        <v>0.04</v>
      </c>
      <c r="H39" s="113">
        <v>1.224001</v>
      </c>
      <c r="I39" s="113">
        <v>0</v>
      </c>
      <c r="J39" s="113">
        <v>1.224001</v>
      </c>
      <c r="K39" s="60">
        <f>+J39-((J39*0.097*0.125)+(J39*(1-0.097)*0.26))</f>
        <v>0.9217890330949999</v>
      </c>
      <c r="L39" s="115">
        <v>0.9750503314358134</v>
      </c>
      <c r="M39" s="67" t="s">
        <v>247</v>
      </c>
    </row>
    <row r="40" spans="1:13" s="37" customFormat="1" ht="15">
      <c r="A40" s="68" t="s">
        <v>265</v>
      </c>
      <c r="B40" s="68" t="s">
        <v>267</v>
      </c>
      <c r="C40" s="12" t="s">
        <v>18</v>
      </c>
      <c r="D40" s="65">
        <v>44252</v>
      </c>
      <c r="E40" s="66">
        <v>44253</v>
      </c>
      <c r="F40" s="66">
        <v>44260</v>
      </c>
      <c r="G40" s="96">
        <v>0.04</v>
      </c>
      <c r="H40" s="113">
        <v>0.912959</v>
      </c>
      <c r="I40" s="113">
        <v>0</v>
      </c>
      <c r="J40" s="113">
        <v>0.912959</v>
      </c>
      <c r="K40" s="60">
        <f>+J40-((J40*0.097*0.125)+(J40*(1-0.097)*0.26))</f>
        <v>0.687544858105</v>
      </c>
      <c r="L40" s="115">
        <v>0.7300635384168352</v>
      </c>
      <c r="M40" s="67" t="s">
        <v>247</v>
      </c>
    </row>
    <row r="41" spans="1:13" s="37" customFormat="1" ht="15">
      <c r="A41" s="68" t="s">
        <v>258</v>
      </c>
      <c r="B41" s="68" t="s">
        <v>259</v>
      </c>
      <c r="C41" s="12" t="s">
        <v>18</v>
      </c>
      <c r="D41" s="65">
        <v>44344</v>
      </c>
      <c r="E41" s="66">
        <v>44347</v>
      </c>
      <c r="F41" s="66">
        <v>44354</v>
      </c>
      <c r="G41" s="96">
        <v>0.05</v>
      </c>
      <c r="H41" s="113">
        <v>1.266514</v>
      </c>
      <c r="I41" s="113">
        <v>0</v>
      </c>
      <c r="J41" s="113">
        <v>1.266514</v>
      </c>
      <c r="K41" s="60">
        <f>+J41-((J41*0.091*0.125)+(J41*(1-0.091)*0.26))</f>
        <v>0.9527794844899999</v>
      </c>
      <c r="L41" s="115">
        <v>0.9528316366613176</v>
      </c>
      <c r="M41" s="67" t="s">
        <v>247</v>
      </c>
    </row>
    <row r="42" spans="1:13" s="37" customFormat="1" ht="15">
      <c r="A42" s="68" t="s">
        <v>502</v>
      </c>
      <c r="B42" s="68" t="s">
        <v>423</v>
      </c>
      <c r="C42" s="12" t="s">
        <v>18</v>
      </c>
      <c r="D42" s="65">
        <v>44344</v>
      </c>
      <c r="E42" s="66">
        <v>44347</v>
      </c>
      <c r="F42" s="66">
        <v>44354</v>
      </c>
      <c r="G42" s="96">
        <v>0.05</v>
      </c>
      <c r="H42" s="113">
        <v>1.307173</v>
      </c>
      <c r="I42" s="113">
        <v>0</v>
      </c>
      <c r="J42" s="113">
        <v>1.307173</v>
      </c>
      <c r="K42" s="60">
        <f>+J42-((J42*0.091*0.125)+(J42*(1-0.091)*0.26))</f>
        <v>0.9833666403049999</v>
      </c>
      <c r="L42" s="115">
        <v>0.90528529333</v>
      </c>
      <c r="M42" s="67" t="s">
        <v>247</v>
      </c>
    </row>
    <row r="43" spans="1:13" s="37" customFormat="1" ht="15">
      <c r="A43" s="68" t="s">
        <v>260</v>
      </c>
      <c r="B43" s="68" t="s">
        <v>415</v>
      </c>
      <c r="C43" s="12" t="s">
        <v>18</v>
      </c>
      <c r="D43" s="65">
        <v>44344</v>
      </c>
      <c r="E43" s="66">
        <v>44347</v>
      </c>
      <c r="F43" s="66">
        <v>44354</v>
      </c>
      <c r="G43" s="96"/>
      <c r="H43" s="113">
        <v>0.57083027</v>
      </c>
      <c r="I43" s="113">
        <v>0</v>
      </c>
      <c r="J43" s="113">
        <v>0.57083027</v>
      </c>
      <c r="K43" s="60">
        <f>+J43-((J43*0.091*0.125)+(J43*(1-0.091)*0.26))</f>
        <v>0.42942704966694994</v>
      </c>
      <c r="L43" s="115">
        <f>I43+K43</f>
        <v>0.42942704966694994</v>
      </c>
      <c r="M43" s="67" t="s">
        <v>416</v>
      </c>
    </row>
    <row r="44" spans="1:13" s="37" customFormat="1" ht="15">
      <c r="A44" s="68" t="s">
        <v>261</v>
      </c>
      <c r="B44" s="68" t="s">
        <v>262</v>
      </c>
      <c r="C44" s="12" t="s">
        <v>18</v>
      </c>
      <c r="D44" s="65">
        <v>44344</v>
      </c>
      <c r="E44" s="66">
        <v>44347</v>
      </c>
      <c r="F44" s="66">
        <v>44354</v>
      </c>
      <c r="G44" s="96">
        <v>0.05</v>
      </c>
      <c r="H44" s="113">
        <v>1.065068</v>
      </c>
      <c r="I44" s="113">
        <v>0</v>
      </c>
      <c r="J44" s="113">
        <v>1.065068</v>
      </c>
      <c r="K44" s="60">
        <f>+J44-((J44*0.091*0.125)+(J44*(1-0.091)*0.26))</f>
        <v>0.8012346803799999</v>
      </c>
      <c r="L44" s="115">
        <v>0.7535080117893476</v>
      </c>
      <c r="M44" s="67" t="s">
        <v>247</v>
      </c>
    </row>
    <row r="45" spans="1:13" s="37" customFormat="1" ht="15">
      <c r="A45" s="68" t="s">
        <v>263</v>
      </c>
      <c r="B45" s="68" t="s">
        <v>264</v>
      </c>
      <c r="C45" s="12" t="s">
        <v>18</v>
      </c>
      <c r="D45" s="65">
        <v>44344</v>
      </c>
      <c r="E45" s="66">
        <v>44347</v>
      </c>
      <c r="F45" s="66">
        <v>44354</v>
      </c>
      <c r="G45" s="96">
        <v>0.05</v>
      </c>
      <c r="H45" s="113">
        <v>1.014002</v>
      </c>
      <c r="I45" s="113">
        <v>0</v>
      </c>
      <c r="J45" s="113">
        <v>1.014002</v>
      </c>
      <c r="K45" s="60">
        <f>+J45-((J45*0.091*0.125)+(J45*(1-0.091)*0.26))</f>
        <v>0.7628184945700001</v>
      </c>
      <c r="L45" s="115">
        <v>0.7238165733760843</v>
      </c>
      <c r="M45" s="67" t="s">
        <v>247</v>
      </c>
    </row>
    <row r="46" spans="1:13" s="37" customFormat="1" ht="15">
      <c r="A46" s="68" t="s">
        <v>266</v>
      </c>
      <c r="B46" s="68" t="s">
        <v>268</v>
      </c>
      <c r="C46" s="12" t="s">
        <v>18</v>
      </c>
      <c r="D46" s="65">
        <v>44344</v>
      </c>
      <c r="E46" s="66">
        <v>44347</v>
      </c>
      <c r="F46" s="66">
        <v>44354</v>
      </c>
      <c r="G46" s="96">
        <v>0.04</v>
      </c>
      <c r="H46" s="113">
        <v>1.325093</v>
      </c>
      <c r="I46" s="113">
        <v>0</v>
      </c>
      <c r="J46" s="113">
        <v>1.325093</v>
      </c>
      <c r="K46" s="60">
        <f>+J46-((J46*0.097*0.125)+(J46*(1-0.097)*0.26))</f>
        <v>0.997920912835</v>
      </c>
      <c r="L46" s="115">
        <v>0.9750503314358134</v>
      </c>
      <c r="M46" s="67" t="s">
        <v>247</v>
      </c>
    </row>
    <row r="47" spans="1:13" s="37" customFormat="1" ht="15">
      <c r="A47" s="68" t="s">
        <v>265</v>
      </c>
      <c r="B47" s="68" t="s">
        <v>267</v>
      </c>
      <c r="C47" s="12" t="s">
        <v>18</v>
      </c>
      <c r="D47" s="65">
        <v>44344</v>
      </c>
      <c r="E47" s="66">
        <v>44347</v>
      </c>
      <c r="F47" s="66">
        <v>44354</v>
      </c>
      <c r="G47" s="96">
        <v>0.04</v>
      </c>
      <c r="H47" s="113">
        <v>0.992957</v>
      </c>
      <c r="I47" s="113">
        <v>0</v>
      </c>
      <c r="J47" s="113">
        <v>0.992957</v>
      </c>
      <c r="K47" s="60">
        <f>+J47-((J47*0.097*0.125)+(J47*(1-0.097)*0.26))</f>
        <v>0.7477909519149999</v>
      </c>
      <c r="L47" s="115">
        <v>0.7300635384168352</v>
      </c>
      <c r="M47" s="67" t="s">
        <v>247</v>
      </c>
    </row>
    <row r="48" spans="1:13" ht="15">
      <c r="A48" s="68" t="s">
        <v>258</v>
      </c>
      <c r="B48" s="68" t="s">
        <v>259</v>
      </c>
      <c r="C48" s="12" t="s">
        <v>18</v>
      </c>
      <c r="D48" s="65">
        <v>44438</v>
      </c>
      <c r="E48" s="66">
        <v>44439</v>
      </c>
      <c r="F48" s="66">
        <v>44446</v>
      </c>
      <c r="G48" s="96">
        <v>0.05</v>
      </c>
      <c r="H48" s="113">
        <v>1.276257</v>
      </c>
      <c r="I48" s="113">
        <v>0</v>
      </c>
      <c r="J48" s="113">
        <v>1.276257</v>
      </c>
      <c r="K48" s="60">
        <f>+J48-((J48*0.058*0.125)+(J48*(1-0.058)*0.26))</f>
        <v>0.95442327231</v>
      </c>
      <c r="L48" s="115">
        <v>0.9528316366613176</v>
      </c>
      <c r="M48" s="67" t="s">
        <v>247</v>
      </c>
    </row>
    <row r="49" spans="1:13" ht="15">
      <c r="A49" s="68" t="s">
        <v>502</v>
      </c>
      <c r="B49" s="68" t="s">
        <v>423</v>
      </c>
      <c r="C49" s="12" t="s">
        <v>18</v>
      </c>
      <c r="D49" s="65">
        <v>44438</v>
      </c>
      <c r="E49" s="66">
        <v>44439</v>
      </c>
      <c r="F49" s="66">
        <v>44446</v>
      </c>
      <c r="G49" s="96">
        <v>0.05</v>
      </c>
      <c r="H49" s="113">
        <v>1.269667</v>
      </c>
      <c r="I49" s="113">
        <v>0</v>
      </c>
      <c r="J49" s="113">
        <v>1.269667</v>
      </c>
      <c r="K49" s="60">
        <f>+J49-((J49*0.058*0.125)+(J49*(1-0.058)*0.26))</f>
        <v>0.94949507261</v>
      </c>
      <c r="L49" s="115">
        <v>0.90528529333</v>
      </c>
      <c r="M49" s="67" t="s">
        <v>247</v>
      </c>
    </row>
    <row r="50" spans="1:13" ht="15">
      <c r="A50" s="68" t="s">
        <v>260</v>
      </c>
      <c r="B50" s="68" t="s">
        <v>415</v>
      </c>
      <c r="C50" s="12" t="s">
        <v>18</v>
      </c>
      <c r="D50" s="65">
        <v>44438</v>
      </c>
      <c r="E50" s="66">
        <v>44439</v>
      </c>
      <c r="F50" s="66">
        <v>44446</v>
      </c>
      <c r="G50" s="96"/>
      <c r="H50" s="113">
        <v>0.06702466</v>
      </c>
      <c r="I50" s="113">
        <v>0</v>
      </c>
      <c r="J50" s="113">
        <v>0.06702466</v>
      </c>
      <c r="K50" s="60">
        <f>+J50-((J50*0.058*0.125)+(J50*(1-0.058)*0.26))</f>
        <v>0.050123051487800004</v>
      </c>
      <c r="L50" s="115">
        <f>I50+K50</f>
        <v>0.050123051487800004</v>
      </c>
      <c r="M50" s="67" t="s">
        <v>416</v>
      </c>
    </row>
    <row r="51" spans="1:13" ht="15">
      <c r="A51" s="68" t="s">
        <v>261</v>
      </c>
      <c r="B51" s="68" t="s">
        <v>262</v>
      </c>
      <c r="C51" s="12" t="s">
        <v>18</v>
      </c>
      <c r="D51" s="65">
        <v>44438</v>
      </c>
      <c r="E51" s="66">
        <v>44439</v>
      </c>
      <c r="F51" s="66">
        <v>44446</v>
      </c>
      <c r="G51" s="96">
        <v>0.05</v>
      </c>
      <c r="H51" s="113">
        <v>1.070983</v>
      </c>
      <c r="I51" s="113">
        <v>0</v>
      </c>
      <c r="J51" s="113">
        <v>1.070983</v>
      </c>
      <c r="K51" s="60">
        <f>+J51-((J51*0.058*0.125)+(J51*(1-0.058)*0.26))</f>
        <v>0.80091321689</v>
      </c>
      <c r="L51" s="115">
        <v>0.7535080117893476</v>
      </c>
      <c r="M51" s="67" t="s">
        <v>247</v>
      </c>
    </row>
    <row r="52" spans="1:13" ht="15">
      <c r="A52" s="68" t="s">
        <v>263</v>
      </c>
      <c r="B52" s="68" t="s">
        <v>264</v>
      </c>
      <c r="C52" s="12" t="s">
        <v>18</v>
      </c>
      <c r="D52" s="65">
        <v>44438</v>
      </c>
      <c r="E52" s="66">
        <v>44439</v>
      </c>
      <c r="F52" s="66">
        <v>44446</v>
      </c>
      <c r="G52" s="96">
        <v>0.05</v>
      </c>
      <c r="H52" s="113">
        <v>0.982821</v>
      </c>
      <c r="I52" s="113">
        <v>0</v>
      </c>
      <c r="J52" s="113">
        <v>0.982821</v>
      </c>
      <c r="K52" s="60">
        <f>+J52-((J52*0.058*0.125)+(J52*(1-0.058)*0.26))</f>
        <v>0.73498302843</v>
      </c>
      <c r="L52" s="115">
        <v>0.7238165733760843</v>
      </c>
      <c r="M52" s="67" t="s">
        <v>247</v>
      </c>
    </row>
    <row r="53" spans="1:13" ht="15">
      <c r="A53" s="68" t="s">
        <v>266</v>
      </c>
      <c r="B53" s="68" t="s">
        <v>268</v>
      </c>
      <c r="C53" s="12" t="s">
        <v>18</v>
      </c>
      <c r="D53" s="65">
        <v>44438</v>
      </c>
      <c r="E53" s="66">
        <v>44439</v>
      </c>
      <c r="F53" s="66">
        <v>44446</v>
      </c>
      <c r="G53" s="96">
        <v>0.04</v>
      </c>
      <c r="H53" s="113">
        <v>1.343052</v>
      </c>
      <c r="I53" s="113">
        <v>0</v>
      </c>
      <c r="J53" s="113">
        <v>1.343052</v>
      </c>
      <c r="K53" s="60">
        <f>+J53-((J53*0.073*0.125)+(J53*(1-0.073)*0.26))</f>
        <v>1.00709425746</v>
      </c>
      <c r="L53" s="115">
        <v>0.9750503314358134</v>
      </c>
      <c r="M53" s="67" t="s">
        <v>247</v>
      </c>
    </row>
    <row r="54" spans="1:13" ht="15">
      <c r="A54" s="68" t="s">
        <v>265</v>
      </c>
      <c r="B54" s="68" t="s">
        <v>267</v>
      </c>
      <c r="C54" s="12" t="s">
        <v>18</v>
      </c>
      <c r="D54" s="65">
        <v>44438</v>
      </c>
      <c r="E54" s="66">
        <v>44439</v>
      </c>
      <c r="F54" s="66">
        <v>44446</v>
      </c>
      <c r="G54" s="96">
        <v>0.04</v>
      </c>
      <c r="H54" s="113">
        <v>0.97</v>
      </c>
      <c r="I54" s="113">
        <v>0</v>
      </c>
      <c r="J54" s="113">
        <v>0.97</v>
      </c>
      <c r="K54" s="60">
        <f>+J54-((J54*0.073*0.125)+(J54*(1-0.073)*0.26))</f>
        <v>0.72735935</v>
      </c>
      <c r="L54" s="115">
        <v>0.7300635384168352</v>
      </c>
      <c r="M54" s="67" t="s">
        <v>247</v>
      </c>
    </row>
    <row r="55" spans="1:13" ht="15">
      <c r="A55" s="152" t="s">
        <v>258</v>
      </c>
      <c r="B55" s="152" t="s">
        <v>259</v>
      </c>
      <c r="C55" s="153" t="s">
        <v>18</v>
      </c>
      <c r="D55" s="154">
        <v>44529</v>
      </c>
      <c r="E55" s="155">
        <v>44530</v>
      </c>
      <c r="F55" s="155">
        <v>44537</v>
      </c>
      <c r="G55" s="156">
        <v>0.05</v>
      </c>
      <c r="H55" s="157"/>
      <c r="I55" s="157"/>
      <c r="J55" s="157"/>
      <c r="K55" s="149">
        <f>+J55-((J55*0.058*0.125)+(J55*(1-0.058)*0.26))</f>
        <v>0</v>
      </c>
      <c r="L55" s="158">
        <v>0.9528316366613176</v>
      </c>
      <c r="M55" s="159" t="s">
        <v>247</v>
      </c>
    </row>
    <row r="56" spans="1:13" ht="15">
      <c r="A56" s="152" t="s">
        <v>502</v>
      </c>
      <c r="B56" s="152" t="s">
        <v>423</v>
      </c>
      <c r="C56" s="153" t="s">
        <v>18</v>
      </c>
      <c r="D56" s="154">
        <v>44529</v>
      </c>
      <c r="E56" s="155">
        <v>44530</v>
      </c>
      <c r="F56" s="155">
        <v>44537</v>
      </c>
      <c r="G56" s="156">
        <v>0.05</v>
      </c>
      <c r="H56" s="157"/>
      <c r="I56" s="157"/>
      <c r="J56" s="157"/>
      <c r="K56" s="149">
        <f>+J56-((J56*0.058*0.125)+(J56*(1-0.058)*0.26))</f>
        <v>0</v>
      </c>
      <c r="L56" s="158">
        <v>0.90528529333</v>
      </c>
      <c r="M56" s="159" t="s">
        <v>247</v>
      </c>
    </row>
    <row r="57" spans="1:13" ht="15">
      <c r="A57" s="152" t="s">
        <v>260</v>
      </c>
      <c r="B57" s="152" t="s">
        <v>415</v>
      </c>
      <c r="C57" s="153" t="s">
        <v>18</v>
      </c>
      <c r="D57" s="154">
        <v>44529</v>
      </c>
      <c r="E57" s="155">
        <v>44530</v>
      </c>
      <c r="F57" s="155">
        <v>44537</v>
      </c>
      <c r="G57" s="156"/>
      <c r="H57" s="157"/>
      <c r="I57" s="157"/>
      <c r="J57" s="157"/>
      <c r="K57" s="149">
        <f>+J57-((J57*0.058*0.125)+(J57*(1-0.058)*0.26))</f>
        <v>0</v>
      </c>
      <c r="L57" s="158">
        <f>I57+K57</f>
        <v>0</v>
      </c>
      <c r="M57" s="159" t="s">
        <v>416</v>
      </c>
    </row>
    <row r="58" spans="1:13" ht="15">
      <c r="A58" s="152" t="s">
        <v>261</v>
      </c>
      <c r="B58" s="152" t="s">
        <v>262</v>
      </c>
      <c r="C58" s="153" t="s">
        <v>18</v>
      </c>
      <c r="D58" s="154">
        <v>44529</v>
      </c>
      <c r="E58" s="155">
        <v>44530</v>
      </c>
      <c r="F58" s="155">
        <v>44537</v>
      </c>
      <c r="G58" s="156">
        <v>0.05</v>
      </c>
      <c r="H58" s="157"/>
      <c r="I58" s="157"/>
      <c r="J58" s="157"/>
      <c r="K58" s="149">
        <f>+J58-((J58*0.058*0.125)+(J58*(1-0.058)*0.26))</f>
        <v>0</v>
      </c>
      <c r="L58" s="158">
        <v>0.7535080117893476</v>
      </c>
      <c r="M58" s="159" t="s">
        <v>247</v>
      </c>
    </row>
    <row r="59" spans="1:13" ht="15">
      <c r="A59" s="152" t="s">
        <v>263</v>
      </c>
      <c r="B59" s="152" t="s">
        <v>264</v>
      </c>
      <c r="C59" s="153" t="s">
        <v>18</v>
      </c>
      <c r="D59" s="154">
        <v>44529</v>
      </c>
      <c r="E59" s="155">
        <v>44530</v>
      </c>
      <c r="F59" s="155">
        <v>44537</v>
      </c>
      <c r="G59" s="156">
        <v>0.05</v>
      </c>
      <c r="H59" s="157"/>
      <c r="I59" s="157"/>
      <c r="J59" s="157"/>
      <c r="K59" s="149">
        <f>+J59-((J59*0.058*0.125)+(J59*(1-0.058)*0.26))</f>
        <v>0</v>
      </c>
      <c r="L59" s="158">
        <v>0.7238165733760843</v>
      </c>
      <c r="M59" s="159" t="s">
        <v>247</v>
      </c>
    </row>
    <row r="60" spans="1:13" ht="15">
      <c r="A60" s="152" t="s">
        <v>266</v>
      </c>
      <c r="B60" s="152" t="s">
        <v>268</v>
      </c>
      <c r="C60" s="153" t="s">
        <v>18</v>
      </c>
      <c r="D60" s="154">
        <v>44529</v>
      </c>
      <c r="E60" s="155">
        <v>44530</v>
      </c>
      <c r="F60" s="155">
        <v>44537</v>
      </c>
      <c r="G60" s="156">
        <v>0.04</v>
      </c>
      <c r="H60" s="157"/>
      <c r="I60" s="157"/>
      <c r="J60" s="157"/>
      <c r="K60" s="149">
        <f>+J60-((J60*0.073*0.125)+(J60*(1-0.073)*0.26))</f>
        <v>0</v>
      </c>
      <c r="L60" s="158">
        <v>0.9750503314358134</v>
      </c>
      <c r="M60" s="159" t="s">
        <v>247</v>
      </c>
    </row>
    <row r="61" spans="1:13" ht="15">
      <c r="A61" s="152" t="s">
        <v>265</v>
      </c>
      <c r="B61" s="152" t="s">
        <v>267</v>
      </c>
      <c r="C61" s="153" t="s">
        <v>18</v>
      </c>
      <c r="D61" s="154">
        <v>44529</v>
      </c>
      <c r="E61" s="155">
        <v>44530</v>
      </c>
      <c r="F61" s="155">
        <v>44537</v>
      </c>
      <c r="G61" s="156">
        <v>0.04</v>
      </c>
      <c r="H61" s="157"/>
      <c r="I61" s="157"/>
      <c r="J61" s="157"/>
      <c r="K61" s="149">
        <f>+J61-((J61*0.073*0.125)+(J61*(1-0.073)*0.26))</f>
        <v>0</v>
      </c>
      <c r="L61" s="158">
        <v>0.7300635384168352</v>
      </c>
      <c r="M61" s="159" t="s">
        <v>247</v>
      </c>
    </row>
  </sheetData>
  <sheetProtection/>
  <autoFilter ref="A5:M61">
    <sortState ref="A6:M61">
      <sortCondition sortBy="value" ref="D6:D61"/>
    </sortState>
  </autoFilter>
  <printOptions/>
  <pageMargins left="0.7" right="0.7" top="0.75" bottom="0.75" header="0.3" footer="0.3"/>
  <pageSetup horizontalDpi="600" verticalDpi="600" orientation="landscape" paperSize="9" scale="5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11"/>
  <sheetViews>
    <sheetView zoomScale="78" zoomScaleNormal="78" zoomScalePageLayoutView="0" workbookViewId="0" topLeftCell="A1">
      <selection activeCell="B10" sqref="B10"/>
    </sheetView>
  </sheetViews>
  <sheetFormatPr defaultColWidth="9.140625" defaultRowHeight="15"/>
  <cols>
    <col min="1" max="1" width="20.140625" style="0" customWidth="1"/>
    <col min="2" max="2" width="31.421875" style="0" customWidth="1"/>
    <col min="3" max="3" width="24.00390625" style="0" customWidth="1"/>
    <col min="4" max="6" width="22.57421875" style="0" customWidth="1"/>
    <col min="7" max="7" width="14.8515625" style="0" customWidth="1"/>
    <col min="8" max="8" width="17.140625" style="0" customWidth="1"/>
    <col min="9" max="9" width="15.8515625" style="0" customWidth="1"/>
  </cols>
  <sheetData>
    <row r="1" spans="2:14" s="3" customFormat="1" ht="26.25" customHeight="1">
      <c r="B1" s="5"/>
      <c r="C1" s="7"/>
      <c r="D1" s="5"/>
      <c r="E1" s="2"/>
      <c r="F1" s="5"/>
      <c r="G1" s="2"/>
      <c r="H1" s="2"/>
      <c r="I1" s="38"/>
      <c r="J1" s="38"/>
      <c r="K1" s="38"/>
      <c r="L1" s="38"/>
      <c r="M1" s="38"/>
      <c r="N1" s="8"/>
    </row>
    <row r="2" spans="2:14" s="3" customFormat="1" ht="26.25" customHeight="1">
      <c r="B2" s="5"/>
      <c r="C2" s="7"/>
      <c r="D2" s="5"/>
      <c r="E2" s="2"/>
      <c r="F2" s="5"/>
      <c r="G2" s="2"/>
      <c r="H2" s="2"/>
      <c r="I2" s="38"/>
      <c r="J2" s="38"/>
      <c r="K2" s="38"/>
      <c r="L2" s="38"/>
      <c r="M2" s="38"/>
      <c r="N2" s="8"/>
    </row>
    <row r="3" spans="2:14" s="3" customFormat="1" ht="26.25" customHeight="1">
      <c r="B3" s="5"/>
      <c r="C3" s="7"/>
      <c r="D3" s="5"/>
      <c r="E3" s="2"/>
      <c r="F3" s="5"/>
      <c r="G3" s="2"/>
      <c r="H3" s="2"/>
      <c r="I3" s="38"/>
      <c r="J3" s="38"/>
      <c r="K3" s="38"/>
      <c r="L3" s="38"/>
      <c r="M3" s="38"/>
      <c r="N3" s="8"/>
    </row>
    <row r="4" spans="2:14" s="3" customFormat="1" ht="23.25" customHeight="1">
      <c r="B4" s="5"/>
      <c r="C4" s="7"/>
      <c r="D4" s="5"/>
      <c r="E4" s="2"/>
      <c r="F4" s="5"/>
      <c r="G4" s="2"/>
      <c r="H4" s="2"/>
      <c r="I4" s="38"/>
      <c r="J4" s="38"/>
      <c r="K4" s="38"/>
      <c r="L4" s="38"/>
      <c r="M4" s="38"/>
      <c r="N4" s="8"/>
    </row>
    <row r="5" spans="1:9" s="14" customFormat="1" ht="90" customHeight="1">
      <c r="A5" s="208" t="s">
        <v>0</v>
      </c>
      <c r="B5" s="208" t="s">
        <v>1</v>
      </c>
      <c r="C5" s="209" t="s">
        <v>2</v>
      </c>
      <c r="D5" s="210" t="s">
        <v>702</v>
      </c>
      <c r="E5" s="210" t="s">
        <v>703</v>
      </c>
      <c r="F5" s="211" t="s">
        <v>704</v>
      </c>
      <c r="G5" s="213" t="s">
        <v>706</v>
      </c>
      <c r="H5" s="214" t="s">
        <v>711</v>
      </c>
      <c r="I5" s="208" t="s">
        <v>3</v>
      </c>
    </row>
    <row r="6" spans="1:207" s="3" customFormat="1" ht="26.25" customHeight="1">
      <c r="A6" s="82" t="s">
        <v>314</v>
      </c>
      <c r="B6" s="82" t="s">
        <v>315</v>
      </c>
      <c r="C6" s="1" t="s">
        <v>18</v>
      </c>
      <c r="D6" s="83">
        <v>43875</v>
      </c>
      <c r="E6" s="80">
        <v>43878</v>
      </c>
      <c r="F6" s="80">
        <v>43880</v>
      </c>
      <c r="G6" s="86">
        <v>0.015</v>
      </c>
      <c r="H6" s="87">
        <v>0.35</v>
      </c>
      <c r="I6" s="77" t="s">
        <v>247</v>
      </c>
      <c r="J6" s="25"/>
      <c r="K6" s="25"/>
      <c r="L6" s="25"/>
      <c r="M6" s="25"/>
      <c r="N6" s="25"/>
      <c r="O6" s="25"/>
      <c r="P6" s="25"/>
      <c r="Q6" s="25"/>
      <c r="R6" s="2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</row>
    <row r="7" spans="1:207" s="3" customFormat="1" ht="26.25" customHeight="1">
      <c r="A7" s="82" t="s">
        <v>314</v>
      </c>
      <c r="B7" s="82" t="s">
        <v>315</v>
      </c>
      <c r="C7" s="1" t="s">
        <v>18</v>
      </c>
      <c r="D7" s="112">
        <v>43955</v>
      </c>
      <c r="E7" s="112">
        <v>43956</v>
      </c>
      <c r="F7" s="112">
        <v>43988</v>
      </c>
      <c r="G7" s="86">
        <v>0.005</v>
      </c>
      <c r="H7" s="87">
        <v>0.12</v>
      </c>
      <c r="I7" s="77" t="s">
        <v>247</v>
      </c>
      <c r="J7" s="25"/>
      <c r="K7" s="25"/>
      <c r="L7" s="25"/>
      <c r="M7" s="25"/>
      <c r="N7" s="25"/>
      <c r="O7" s="25"/>
      <c r="P7" s="25"/>
      <c r="Q7" s="25"/>
      <c r="R7" s="2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</row>
    <row r="8" spans="1:207" s="30" customFormat="1" ht="26.25" customHeight="1">
      <c r="A8" s="68" t="s">
        <v>314</v>
      </c>
      <c r="B8" s="68" t="s">
        <v>315</v>
      </c>
      <c r="C8" s="12" t="s">
        <v>18</v>
      </c>
      <c r="D8" s="130">
        <v>44041</v>
      </c>
      <c r="E8" s="130">
        <v>44042</v>
      </c>
      <c r="F8" s="130">
        <v>44043</v>
      </c>
      <c r="G8" s="96">
        <v>0.005</v>
      </c>
      <c r="H8" s="131">
        <v>0.12</v>
      </c>
      <c r="I8" s="67" t="s">
        <v>247</v>
      </c>
      <c r="J8" s="37"/>
      <c r="K8" s="37"/>
      <c r="L8" s="37"/>
      <c r="M8" s="37"/>
      <c r="N8" s="37"/>
      <c r="O8" s="37"/>
      <c r="P8" s="37"/>
      <c r="Q8" s="37"/>
      <c r="R8" s="3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30" customFormat="1" ht="26.25" customHeight="1">
      <c r="A9" s="68" t="s">
        <v>314</v>
      </c>
      <c r="B9" s="68" t="s">
        <v>315</v>
      </c>
      <c r="C9" s="12" t="s">
        <v>18</v>
      </c>
      <c r="D9" s="130">
        <v>44158</v>
      </c>
      <c r="E9" s="130">
        <v>44159</v>
      </c>
      <c r="F9" s="130">
        <v>44161</v>
      </c>
      <c r="G9" s="96">
        <v>0.005</v>
      </c>
      <c r="H9" s="131">
        <v>0.12</v>
      </c>
      <c r="I9" s="67" t="s">
        <v>247</v>
      </c>
      <c r="J9"/>
      <c r="K9"/>
      <c r="L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</row>
    <row r="10" spans="1:207" s="30" customFormat="1" ht="26.25" customHeight="1">
      <c r="A10" s="68" t="s">
        <v>314</v>
      </c>
      <c r="B10" s="68" t="s">
        <v>315</v>
      </c>
      <c r="C10" s="12" t="s">
        <v>18</v>
      </c>
      <c r="D10" s="130">
        <v>44251</v>
      </c>
      <c r="E10" s="130">
        <v>44252</v>
      </c>
      <c r="F10" s="130">
        <v>44253</v>
      </c>
      <c r="G10" s="96">
        <v>0.005</v>
      </c>
      <c r="H10" s="131">
        <v>0.12</v>
      </c>
      <c r="I10" s="67" t="s">
        <v>247</v>
      </c>
      <c r="J10" s="37"/>
      <c r="K10" s="37"/>
      <c r="L10" s="3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ht="15">
      <c r="A11" s="202" t="s">
        <v>687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CAPONE</dc:creator>
  <cp:keywords/>
  <dc:description/>
  <cp:lastModifiedBy>fbrrsbr</cp:lastModifiedBy>
  <cp:lastPrinted>2021-02-03T12:53:14Z</cp:lastPrinted>
  <dcterms:created xsi:type="dcterms:W3CDTF">2013-11-13T12:58:41Z</dcterms:created>
  <dcterms:modified xsi:type="dcterms:W3CDTF">2021-12-01T07:51:22Z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-373690395</vt:i4>
  </property>
  <property fmtid="{D5CDD505-2E9C-101B-9397-08002B2CF9AE}" pid="3" name="_NewReviewCycle">
    <vt:lpwstr/>
  </property>
  <property fmtid="{D5CDD505-2E9C-101B-9397-08002B2CF9AE}" pid="4" name="_EmailSubject">
    <vt:lpwstr>Amundi LUX | stacchi cedole Amundi Funds, Amundi S.F., Amundi Soluzioni Italia, First Eagle Amundi e Amundi Fund Solutions</vt:lpwstr>
  </property>
  <property fmtid="{D5CDD505-2E9C-101B-9397-08002B2CF9AE}" pid="5" name="_AuthorEmail">
    <vt:lpwstr>sabrina.borroni@amundi.com</vt:lpwstr>
  </property>
  <property fmtid="{D5CDD505-2E9C-101B-9397-08002B2CF9AE}" pid="6" name="_AuthorEmailDisplayName">
    <vt:lpwstr>Borroni Sabrina (AMUNDI.ITA)</vt:lpwstr>
  </property>
  <property fmtid="{D5CDD505-2E9C-101B-9397-08002B2CF9AE}" pid="7" name="_PreviousAdHocReviewCycleID">
    <vt:i4>-2078861922</vt:i4>
  </property>
</Properties>
</file>